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8615" windowHeight="8145" activeTab="1"/>
  </bookViews>
  <sheets>
    <sheet name="Recipientes y mezclador" sheetId="1" r:id="rId1"/>
    <sheet name="Transporte neumatico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22" i="1"/>
  <c r="E22"/>
  <c r="D19"/>
  <c r="C15"/>
  <c r="D15" s="1"/>
  <c r="E27" l="1"/>
  <c r="C29" s="1"/>
  <c r="D29" s="1"/>
  <c r="C31" s="1"/>
  <c r="E5"/>
  <c r="A26" i="3"/>
  <c r="C26" s="1"/>
  <c r="C22"/>
  <c r="A17"/>
  <c r="B17" s="1"/>
  <c r="A16"/>
  <c r="B16" s="1"/>
  <c r="H15"/>
  <c r="I15" s="1"/>
  <c r="A19" s="1"/>
  <c r="C5"/>
  <c r="D5" s="1"/>
  <c r="C3"/>
  <c r="D3" s="1"/>
  <c r="C20" i="2"/>
  <c r="G5"/>
  <c r="A20"/>
  <c r="C16"/>
  <c r="A16"/>
  <c r="G7"/>
  <c r="B20" s="1"/>
  <c r="A12"/>
  <c r="F12"/>
  <c r="B9"/>
  <c r="A9"/>
  <c r="A31" i="1"/>
  <c r="A29"/>
  <c r="B26"/>
  <c r="H15"/>
  <c r="A19"/>
  <c r="A16"/>
  <c r="A26"/>
  <c r="C22"/>
  <c r="E19"/>
  <c r="C19"/>
  <c r="D22" s="1"/>
  <c r="B19"/>
  <c r="I15"/>
  <c r="B17"/>
  <c r="A17"/>
  <c r="B16"/>
  <c r="C11"/>
  <c r="D11" s="1"/>
  <c r="E11" s="1"/>
  <c r="C9"/>
  <c r="D9" s="1"/>
  <c r="C5"/>
  <c r="D5" s="1"/>
  <c r="C3"/>
  <c r="D3" s="1"/>
  <c r="C27" l="1"/>
  <c r="C19" i="3"/>
  <c r="E5"/>
  <c r="F5" s="1"/>
  <c r="B26"/>
  <c r="C28"/>
  <c r="D28" s="1"/>
  <c r="C30" s="1"/>
  <c r="A29"/>
  <c r="D22"/>
  <c r="B19"/>
  <c r="E20" i="2"/>
  <c r="E16"/>
  <c r="C12"/>
  <c r="B12"/>
  <c r="F11" i="1"/>
  <c r="E15" s="1"/>
  <c r="F5"/>
  <c r="A31" i="3" l="1"/>
  <c r="C15"/>
  <c r="D15" s="1"/>
  <c r="E15" s="1"/>
  <c r="G5"/>
  <c r="H5"/>
  <c r="E19"/>
  <c r="E22" s="1"/>
  <c r="F22"/>
  <c r="D12" i="2"/>
  <c r="G12"/>
  <c r="F20" s="1"/>
  <c r="A23" s="1"/>
  <c r="B23" s="1"/>
  <c r="H5" i="1"/>
  <c r="G5"/>
  <c r="H11"/>
  <c r="G11"/>
</calcChain>
</file>

<file path=xl/sharedStrings.xml><?xml version="1.0" encoding="utf-8"?>
<sst xmlns="http://schemas.openxmlformats.org/spreadsheetml/2006/main" count="155" uniqueCount="101">
  <si>
    <t>Recipiente para el mezclador</t>
  </si>
  <si>
    <t>Masa a manejar</t>
  </si>
  <si>
    <t>Volumen</t>
  </si>
  <si>
    <t>Volumen total</t>
  </si>
  <si>
    <t>Dcilindro supuesto</t>
  </si>
  <si>
    <t>Tg(20)=0,36</t>
  </si>
  <si>
    <t>hcono</t>
  </si>
  <si>
    <t>vcono</t>
  </si>
  <si>
    <t>Vcilindro</t>
  </si>
  <si>
    <t>hcilin</t>
  </si>
  <si>
    <t>hcilin/d</t>
  </si>
  <si>
    <t>hlibre</t>
  </si>
  <si>
    <t>Recipiente para la pulpa</t>
  </si>
  <si>
    <t>Densidad pulpa</t>
  </si>
  <si>
    <t>Dsupuesto</t>
  </si>
  <si>
    <t>Masa a manejar Kg</t>
  </si>
  <si>
    <t>Densidad concentrado Kg/m3</t>
  </si>
  <si>
    <t>Volumen m3</t>
  </si>
  <si>
    <t>Volumen total m3</t>
  </si>
  <si>
    <t>Espesor del mezclador</t>
  </si>
  <si>
    <t>Gravedad (m/s2)</t>
  </si>
  <si>
    <t>altura fluido m</t>
  </si>
  <si>
    <t>Presión (Pa)</t>
  </si>
  <si>
    <t>Presion (psi)</t>
  </si>
  <si>
    <t>Eficiencia</t>
  </si>
  <si>
    <t>Presion psi</t>
  </si>
  <si>
    <t>Radio (m)</t>
  </si>
  <si>
    <t>Radio (pulg)</t>
  </si>
  <si>
    <t>Espesor (mm)</t>
  </si>
  <si>
    <t>Espesor ecuacion 1 (pulg)</t>
  </si>
  <si>
    <t>Espesor ecuacion 2 (pulg)</t>
  </si>
  <si>
    <t>Espesor seleccionado mm</t>
  </si>
  <si>
    <t>Espesor  debido a la corrosion</t>
  </si>
  <si>
    <t>Años de utilidad</t>
  </si>
  <si>
    <t>tasa de corrosion (pulg)</t>
  </si>
  <si>
    <t>espesor por corrosión (pulg)</t>
  </si>
  <si>
    <t>espesor por corrosión (mm)</t>
  </si>
  <si>
    <t>Espesor total de la concha cilindrica y conica (mm)</t>
  </si>
  <si>
    <t>Espesor total de la concha cilindrica y conica (pulg)</t>
  </si>
  <si>
    <t>Diametro del agitador</t>
  </si>
  <si>
    <t>Da (m)</t>
  </si>
  <si>
    <t xml:space="preserve">Altura del agitador </t>
  </si>
  <si>
    <t>Ia (m)</t>
  </si>
  <si>
    <t>Altura del agitador en la concha cilindrica</t>
  </si>
  <si>
    <t>potencia</t>
  </si>
  <si>
    <t>Reynolds</t>
  </si>
  <si>
    <t>Np</t>
  </si>
  <si>
    <t>Potencia (Kgfm/s)</t>
  </si>
  <si>
    <t>Potencia del agitador (Hp)</t>
  </si>
  <si>
    <t>Potencia (Hp)</t>
  </si>
  <si>
    <t>Tipo de material</t>
  </si>
  <si>
    <t>Azúcar</t>
  </si>
  <si>
    <t>Polvo</t>
  </si>
  <si>
    <t>Muy fino</t>
  </si>
  <si>
    <t>medianamente abrasivo</t>
  </si>
  <si>
    <t>pegajoso</t>
  </si>
  <si>
    <t>densidad (Kg/m3)</t>
  </si>
  <si>
    <t>f</t>
  </si>
  <si>
    <t>peso promedio (lb/pie3)</t>
  </si>
  <si>
    <t>W</t>
  </si>
  <si>
    <t>Q</t>
  </si>
  <si>
    <t>Toneladas a manejar (Tn/h)</t>
  </si>
  <si>
    <t>12,5*raizcuadrada(W)</t>
  </si>
  <si>
    <t>Va (pie/s)</t>
  </si>
  <si>
    <t>Va (pie/min)</t>
  </si>
  <si>
    <t>D (pulg)</t>
  </si>
  <si>
    <t>D(pulg) estandarizado</t>
  </si>
  <si>
    <t>D(pie) estandarizado</t>
  </si>
  <si>
    <t>Perdidas aire</t>
  </si>
  <si>
    <t>Pérdidas debido a manguera</t>
  </si>
  <si>
    <t>Dtuberias (pie)</t>
  </si>
  <si>
    <t>ajuste caudal Qreal en tuberias</t>
  </si>
  <si>
    <t>Velocidad, caudal del aire en tuberias y diametro de tuberias</t>
  </si>
  <si>
    <t>30*raizcuadrada(w)</t>
  </si>
  <si>
    <t>coeficiente de unwin</t>
  </si>
  <si>
    <t>p</t>
  </si>
  <si>
    <t>para la tuberia</t>
  </si>
  <si>
    <t>Longitud de la linea (m)</t>
  </si>
  <si>
    <t>Longitud de la linea (pie)</t>
  </si>
  <si>
    <t>formulas de velocidad con codos y accesorios</t>
  </si>
  <si>
    <t>Para tuberias</t>
  </si>
  <si>
    <t>Para mangueras</t>
  </si>
  <si>
    <t>Perdidas de presion onza/pulg2</t>
  </si>
  <si>
    <t>Pérdidas en la linea onza/pulg2</t>
  </si>
  <si>
    <t>pérdidas en recepcion onza/pulg2</t>
  </si>
  <si>
    <t>Perdidas totales onza/pulg2</t>
  </si>
  <si>
    <t>Perdidas material</t>
  </si>
  <si>
    <t>Perdidas de inercia (Hp)</t>
  </si>
  <si>
    <t>Pérdidas en la linea (Hp)</t>
  </si>
  <si>
    <t>altura de la linea (m)</t>
  </si>
  <si>
    <t>altura de la linea (pie)</t>
  </si>
  <si>
    <t>Pérdidas en cada codo (Hp)</t>
  </si>
  <si>
    <t>perdidas en manguera</t>
  </si>
  <si>
    <t>Perdidas totales (Hp)</t>
  </si>
  <si>
    <t>Perdidas totales (onza/pulg2)</t>
  </si>
  <si>
    <t>Perdidas totales (Lbs/pulg2)</t>
  </si>
  <si>
    <t>Potencia(Hp)</t>
  </si>
  <si>
    <t>Recipiente para el mezclador de concentrado</t>
  </si>
  <si>
    <t>N (rev/s)</t>
  </si>
  <si>
    <t>Visocsidad (Kg/m*s)</t>
  </si>
  <si>
    <t xml:space="preserve">N (rpm)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</si>
</sst>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2" borderId="4" xfId="0" applyFill="1" applyBorder="1"/>
    <xf numFmtId="0" fontId="0" fillId="2" borderId="11" xfId="0" applyFill="1" applyBorder="1"/>
    <xf numFmtId="0" fontId="0" fillId="2" borderId="0" xfId="0" applyFill="1"/>
    <xf numFmtId="0" fontId="0" fillId="3" borderId="4" xfId="0" applyFill="1" applyBorder="1"/>
    <xf numFmtId="0" fontId="0" fillId="3" borderId="4" xfId="0" applyNumberFormat="1" applyFill="1" applyBorder="1"/>
    <xf numFmtId="0" fontId="0" fillId="4" borderId="4" xfId="0" applyFill="1" applyBorder="1"/>
    <xf numFmtId="0" fontId="0" fillId="4" borderId="4" xfId="0" applyNumberFormat="1" applyFill="1" applyBorder="1"/>
    <xf numFmtId="0" fontId="0" fillId="4" borderId="0" xfId="0" applyFill="1"/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0" borderId="0" xfId="0" applyBorder="1"/>
    <xf numFmtId="0" fontId="0" fillId="0" borderId="4" xfId="0" applyFill="1" applyBorder="1"/>
    <xf numFmtId="0" fontId="0" fillId="0" borderId="3" xfId="0" applyBorder="1"/>
    <xf numFmtId="0" fontId="0" fillId="0" borderId="13" xfId="0" applyBorder="1"/>
    <xf numFmtId="0" fontId="0" fillId="0" borderId="4" xfId="0" applyBorder="1" applyAlignment="1">
      <alignment horizontal="center"/>
    </xf>
    <xf numFmtId="0" fontId="0" fillId="5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opLeftCell="D1" workbookViewId="0">
      <selection activeCell="D9" sqref="D9"/>
    </sheetView>
  </sheetViews>
  <sheetFormatPr baseColWidth="10" defaultRowHeight="15"/>
  <cols>
    <col min="1" max="1" width="37.85546875" customWidth="1"/>
    <col min="2" max="2" width="27.5703125" customWidth="1"/>
    <col min="3" max="3" width="25.7109375" customWidth="1"/>
    <col min="4" max="4" width="26" customWidth="1"/>
    <col min="5" max="5" width="45" customWidth="1"/>
    <col min="6" max="6" width="44" customWidth="1"/>
  </cols>
  <sheetData>
    <row r="1" spans="1:9">
      <c r="A1" s="27" t="s">
        <v>97</v>
      </c>
      <c r="B1" s="28"/>
      <c r="C1" s="28"/>
      <c r="D1" s="28"/>
      <c r="E1" s="28"/>
      <c r="F1" s="28"/>
      <c r="G1" s="28"/>
      <c r="H1" s="29"/>
    </row>
    <row r="2" spans="1:9">
      <c r="A2" s="7" t="s">
        <v>15</v>
      </c>
      <c r="B2" s="7" t="s">
        <v>16</v>
      </c>
      <c r="C2" s="7" t="s">
        <v>17</v>
      </c>
      <c r="D2" s="7" t="s">
        <v>18</v>
      </c>
      <c r="E2" s="30"/>
      <c r="F2" s="31"/>
      <c r="G2" s="31"/>
      <c r="H2" s="32"/>
    </row>
    <row r="3" spans="1:9">
      <c r="A3" s="7">
        <v>2000</v>
      </c>
      <c r="B3" s="7">
        <v>1155</v>
      </c>
      <c r="C3" s="7">
        <f>A3/B3</f>
        <v>1.7316017316017316</v>
      </c>
      <c r="D3" s="7">
        <f>1.2*C3</f>
        <v>2.0779220779220777</v>
      </c>
      <c r="E3" s="33"/>
      <c r="F3" s="34"/>
      <c r="G3" s="34"/>
      <c r="H3" s="35"/>
    </row>
    <row r="4" spans="1:9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</row>
    <row r="5" spans="1:9">
      <c r="A5" s="7">
        <v>1.7197886069087027</v>
      </c>
      <c r="B5" s="7">
        <v>0.36</v>
      </c>
      <c r="C5" s="7">
        <f>B5*(A5/2)</f>
        <v>0.3095619492435665</v>
      </c>
      <c r="D5" s="7">
        <f>(1/12)*PI()*POWER(A5,2)*C5</f>
        <v>0.23969906192333101</v>
      </c>
      <c r="E5" s="7">
        <f>D3-D5</f>
        <v>1.8382230159987467</v>
      </c>
      <c r="F5" s="7">
        <f>(E5/(PI()*POWER(A5,2)))*4</f>
        <v>0.79133100676460066</v>
      </c>
      <c r="G5" s="7">
        <f>F5/A5</f>
        <v>0.46013271839671488</v>
      </c>
      <c r="H5" s="7">
        <f>0.1*(F5+C5)</f>
        <v>0.11008929560081673</v>
      </c>
    </row>
    <row r="6" spans="1:9">
      <c r="A6" s="9"/>
      <c r="B6" s="9"/>
      <c r="C6" s="9"/>
      <c r="D6" s="9"/>
      <c r="E6" s="9"/>
      <c r="F6" s="9"/>
      <c r="G6" s="9"/>
      <c r="H6" s="9"/>
    </row>
    <row r="7" spans="1:9">
      <c r="A7" s="36" t="s">
        <v>12</v>
      </c>
      <c r="B7" s="37"/>
      <c r="C7" s="37"/>
      <c r="D7" s="37"/>
      <c r="E7" s="37"/>
      <c r="F7" s="37"/>
      <c r="G7" s="37"/>
      <c r="H7" s="38"/>
    </row>
    <row r="8" spans="1:9">
      <c r="A8" s="5" t="s">
        <v>1</v>
      </c>
      <c r="B8" s="5" t="s">
        <v>13</v>
      </c>
      <c r="C8" s="5" t="s">
        <v>2</v>
      </c>
      <c r="D8" s="5" t="s">
        <v>3</v>
      </c>
      <c r="E8" s="39"/>
      <c r="F8" s="40"/>
      <c r="G8" s="40"/>
      <c r="H8" s="41"/>
    </row>
    <row r="9" spans="1:9">
      <c r="A9" s="5">
        <v>400</v>
      </c>
      <c r="B9" s="5">
        <v>1006</v>
      </c>
      <c r="C9" s="5">
        <f>A9/B9</f>
        <v>0.39761431411530818</v>
      </c>
      <c r="D9" s="5">
        <f>1.2*C9</f>
        <v>0.47713717693836977</v>
      </c>
      <c r="E9" s="42"/>
      <c r="F9" s="43"/>
      <c r="G9" s="43"/>
      <c r="H9" s="44"/>
    </row>
    <row r="10" spans="1:9">
      <c r="A10" s="5" t="s">
        <v>14</v>
      </c>
      <c r="B10" s="6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</row>
    <row r="11" spans="1:9">
      <c r="A11" s="5">
        <v>1.0531850121947406</v>
      </c>
      <c r="B11" s="5">
        <v>0.36</v>
      </c>
      <c r="C11" s="5">
        <f>B11*(A11/2)</f>
        <v>0.18957330219505331</v>
      </c>
      <c r="D11" s="5">
        <f>(1/12)*PI()*POWER(A11,2)*C11</f>
        <v>5.5049723495994449E-2</v>
      </c>
      <c r="E11" s="5">
        <f>D9-D11</f>
        <v>0.4220874534423753</v>
      </c>
      <c r="F11" s="5">
        <f>(E11/(PI()*POWER(A11,2)))*4</f>
        <v>0.48451053146521311</v>
      </c>
      <c r="G11" s="5">
        <f>F11/A11</f>
        <v>0.46004313188576218</v>
      </c>
      <c r="H11" s="5">
        <f>0.1*(F11+C11)</f>
        <v>6.7408383366026642E-2</v>
      </c>
    </row>
    <row r="13" spans="1:9">
      <c r="A13" s="45" t="s">
        <v>19</v>
      </c>
      <c r="B13" s="45"/>
      <c r="C13" s="45"/>
      <c r="D13" s="45"/>
      <c r="E13" s="45"/>
      <c r="F13" s="45"/>
      <c r="G13" s="45"/>
      <c r="H13" s="45"/>
      <c r="I13" s="45"/>
    </row>
    <row r="14" spans="1:9">
      <c r="A14" s="2" t="s">
        <v>16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  <c r="H14" s="2" t="s">
        <v>26</v>
      </c>
      <c r="I14" s="2" t="s">
        <v>27</v>
      </c>
    </row>
    <row r="15" spans="1:9">
      <c r="A15" s="2">
        <v>1155</v>
      </c>
      <c r="B15" s="2">
        <v>9.8000000000000007</v>
      </c>
      <c r="C15" s="2">
        <f>$C$5+$F$5</f>
        <v>1.1008929560081673</v>
      </c>
      <c r="D15" s="2">
        <f>A15*B15*C15</f>
        <v>12461.007369056446</v>
      </c>
      <c r="E15" s="2">
        <f>D15*(14.6951/10331.9272)</f>
        <v>17.723290712793773</v>
      </c>
      <c r="F15" s="2">
        <v>0.85</v>
      </c>
      <c r="G15" s="2">
        <v>10000</v>
      </c>
      <c r="H15" s="2">
        <f>A5/2</f>
        <v>0.85989430345435136</v>
      </c>
      <c r="I15" s="2">
        <f>H15*39.3701</f>
        <v>33.85412471642816</v>
      </c>
    </row>
    <row r="16" spans="1:9">
      <c r="A16" s="2">
        <f>0.385*F15*G15</f>
        <v>3272.5</v>
      </c>
      <c r="B16" s="2" t="str">
        <f>IF(A16&gt;30,"Ok","no sirve")</f>
        <v>Ok</v>
      </c>
      <c r="C16" s="19"/>
      <c r="D16" s="20"/>
      <c r="E16" s="20"/>
      <c r="F16" s="20"/>
      <c r="G16" s="20"/>
      <c r="H16" s="20"/>
      <c r="I16" s="21"/>
    </row>
    <row r="17" spans="1:9">
      <c r="A17" s="2">
        <f>1.25*G15*F15</f>
        <v>10625</v>
      </c>
      <c r="B17" s="2" t="str">
        <f>IF(A17&gt;30,"ok","no sirve")</f>
        <v>ok</v>
      </c>
      <c r="C17" s="46"/>
      <c r="D17" s="23"/>
      <c r="E17" s="23"/>
      <c r="F17" s="23"/>
      <c r="G17" s="23"/>
      <c r="H17" s="23"/>
      <c r="I17" s="24"/>
    </row>
    <row r="18" spans="1:9">
      <c r="A18" s="2" t="s">
        <v>29</v>
      </c>
      <c r="B18" s="2" t="s">
        <v>28</v>
      </c>
      <c r="C18" s="2" t="s">
        <v>30</v>
      </c>
      <c r="D18" s="2" t="s">
        <v>28</v>
      </c>
      <c r="E18" s="2" t="s">
        <v>31</v>
      </c>
      <c r="F18" s="19"/>
      <c r="G18" s="20"/>
      <c r="H18" s="20"/>
      <c r="I18" s="21"/>
    </row>
    <row r="19" spans="1:9">
      <c r="A19" s="3">
        <f>(30*I15)/((G15*F15)-(0.6*30))</f>
        <v>0.11973871038585768</v>
      </c>
      <c r="B19" s="3">
        <f>A19*(1/39.3701)*(100/1)*(10/1)</f>
        <v>3.0413616014655203</v>
      </c>
      <c r="C19" s="3">
        <f>(30*I15)/((G15*F15*2)+(0.4*30))</f>
        <v>5.9700431547898239E-2</v>
      </c>
      <c r="D19" s="3">
        <f>C19*(1/39.3701)*(100/1)*(10/1)</f>
        <v>1.5163901424659385</v>
      </c>
      <c r="E19" s="3">
        <f>IF(B19&gt;D22,B19,D22)</f>
        <v>3.0413616014655203</v>
      </c>
      <c r="F19" s="22"/>
      <c r="G19" s="23"/>
      <c r="H19" s="23"/>
      <c r="I19" s="24"/>
    </row>
    <row r="20" spans="1:9">
      <c r="A20" s="2" t="s">
        <v>32</v>
      </c>
      <c r="B20" s="2"/>
      <c r="C20" s="2"/>
      <c r="D20" s="2"/>
      <c r="E20" s="2"/>
      <c r="F20" s="2"/>
      <c r="G20" s="4"/>
      <c r="H20" s="4"/>
      <c r="I20" s="4"/>
    </row>
    <row r="21" spans="1:9">
      <c r="A21" s="2" t="s">
        <v>34</v>
      </c>
      <c r="B21" s="2" t="s">
        <v>33</v>
      </c>
      <c r="C21" s="2" t="s">
        <v>35</v>
      </c>
      <c r="D21" s="2" t="s">
        <v>36</v>
      </c>
      <c r="E21" s="2" t="s">
        <v>37</v>
      </c>
      <c r="F21" s="2" t="s">
        <v>38</v>
      </c>
      <c r="G21" s="4"/>
      <c r="H21" s="4"/>
      <c r="I21" s="4"/>
    </row>
    <row r="22" spans="1:9">
      <c r="A22" s="2">
        <v>2E-3</v>
      </c>
      <c r="B22" s="2">
        <v>10</v>
      </c>
      <c r="C22" s="2">
        <f>A22*B22</f>
        <v>0.02</v>
      </c>
      <c r="D22" s="2">
        <f>C19*(1/39.3701)*(100/1)*(10/1)</f>
        <v>1.5163901424659385</v>
      </c>
      <c r="E22" s="2">
        <f>(D22+E19)*2</f>
        <v>9.1155034878629166</v>
      </c>
      <c r="F22" s="2">
        <f>E22*(1/10)*(1/100)*(39.3701/1)</f>
        <v>0.35887828386751186</v>
      </c>
      <c r="G22" s="4"/>
      <c r="H22" s="4"/>
      <c r="I22" s="4"/>
    </row>
    <row r="24" spans="1:9">
      <c r="A24" s="1" t="s">
        <v>39</v>
      </c>
      <c r="E24" s="17" t="s">
        <v>100</v>
      </c>
    </row>
    <row r="25" spans="1:9">
      <c r="A25" s="2" t="s">
        <v>40</v>
      </c>
      <c r="C25" s="25" t="s">
        <v>44</v>
      </c>
      <c r="D25" s="26"/>
      <c r="E25" s="17">
        <v>50</v>
      </c>
    </row>
    <row r="26" spans="1:9">
      <c r="A26" s="1">
        <f>0.7*A5</f>
        <v>1.2038520248360918</v>
      </c>
      <c r="B26" t="str">
        <f>IF(A26&gt;(A5/2),"ok","no sirve")</f>
        <v>ok</v>
      </c>
      <c r="C26" s="17" t="s">
        <v>45</v>
      </c>
      <c r="D26" s="17" t="s">
        <v>46</v>
      </c>
      <c r="E26" s="17" t="s">
        <v>98</v>
      </c>
    </row>
    <row r="27" spans="1:9">
      <c r="A27" s="1" t="s">
        <v>41</v>
      </c>
      <c r="C27" s="17">
        <f>(POWER(A26,2)*E27*B3)/E29</f>
        <v>871.82028689883407</v>
      </c>
      <c r="D27" s="17">
        <v>1.4</v>
      </c>
      <c r="E27" s="17">
        <f>E25/60</f>
        <v>0.83333333333333337</v>
      </c>
    </row>
    <row r="28" spans="1:9">
      <c r="A28" s="1" t="s">
        <v>42</v>
      </c>
      <c r="C28" s="17" t="s">
        <v>47</v>
      </c>
      <c r="D28" s="17" t="s">
        <v>49</v>
      </c>
      <c r="E28" s="17" t="s">
        <v>99</v>
      </c>
    </row>
    <row r="29" spans="1:9">
      <c r="A29" s="1">
        <f>A26/8</f>
        <v>0.15048150310451147</v>
      </c>
      <c r="C29" s="17">
        <f>(D27*B3*POWER(E27,3)*POWER(A26,5))/9.81</f>
        <v>241.19195192507837</v>
      </c>
      <c r="D29" s="17">
        <f>C29/76.04</f>
        <v>3.1719088890725717</v>
      </c>
      <c r="E29" s="17">
        <v>1.6</v>
      </c>
    </row>
    <row r="30" spans="1:9">
      <c r="A30" s="1" t="s">
        <v>43</v>
      </c>
      <c r="C30" s="17" t="s">
        <v>48</v>
      </c>
      <c r="D30" s="17"/>
    </row>
    <row r="31" spans="1:9">
      <c r="A31" s="1">
        <f>F5/3</f>
        <v>0.26377700225486689</v>
      </c>
      <c r="C31" s="17">
        <f>D29*0.8</f>
        <v>2.5375271112580577</v>
      </c>
      <c r="D31" s="17"/>
    </row>
  </sheetData>
  <mergeCells count="8">
    <mergeCell ref="F18:I19"/>
    <mergeCell ref="C25:D25"/>
    <mergeCell ref="A1:H1"/>
    <mergeCell ref="E2:H3"/>
    <mergeCell ref="A7:H7"/>
    <mergeCell ref="E8:H9"/>
    <mergeCell ref="A13:I13"/>
    <mergeCell ref="C16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A13" sqref="A13:G13"/>
    </sheetView>
  </sheetViews>
  <sheetFormatPr baseColWidth="10" defaultRowHeight="15"/>
  <cols>
    <col min="1" max="1" width="29.42578125" customWidth="1"/>
    <col min="2" max="2" width="30.140625" customWidth="1"/>
    <col min="3" max="3" width="28.140625" customWidth="1"/>
    <col min="4" max="4" width="30.7109375" customWidth="1"/>
    <col min="5" max="5" width="25.28515625" customWidth="1"/>
    <col min="6" max="6" width="26.85546875" customWidth="1"/>
    <col min="7" max="7" width="28.5703125" customWidth="1"/>
    <col min="8" max="8" width="20.42578125" customWidth="1"/>
  </cols>
  <sheetData>
    <row r="1" spans="1:7">
      <c r="A1" s="1" t="s">
        <v>50</v>
      </c>
      <c r="B1" t="s">
        <v>56</v>
      </c>
      <c r="C1" t="s">
        <v>57</v>
      </c>
      <c r="D1" t="s">
        <v>58</v>
      </c>
      <c r="E1" t="s">
        <v>61</v>
      </c>
    </row>
    <row r="2" spans="1:7">
      <c r="A2" s="1" t="s">
        <v>51</v>
      </c>
      <c r="B2">
        <v>720</v>
      </c>
      <c r="C2">
        <v>2.7</v>
      </c>
      <c r="D2">
        <v>45</v>
      </c>
      <c r="E2">
        <v>8</v>
      </c>
    </row>
    <row r="3" spans="1:7">
      <c r="A3" s="1" t="s">
        <v>55</v>
      </c>
    </row>
    <row r="4" spans="1:7">
      <c r="A4" s="1" t="s">
        <v>52</v>
      </c>
      <c r="F4" s="1" t="s">
        <v>89</v>
      </c>
      <c r="G4" s="1" t="s">
        <v>90</v>
      </c>
    </row>
    <row r="5" spans="1:7">
      <c r="A5" s="11" t="s">
        <v>53</v>
      </c>
      <c r="B5" s="25" t="s">
        <v>79</v>
      </c>
      <c r="C5" s="25"/>
      <c r="F5" s="1">
        <v>3</v>
      </c>
      <c r="G5" s="1">
        <f>F5*3.28084</f>
        <v>9.8425200000000004</v>
      </c>
    </row>
    <row r="6" spans="1:7">
      <c r="A6" s="11" t="s">
        <v>54</v>
      </c>
      <c r="B6" s="1" t="s">
        <v>80</v>
      </c>
      <c r="C6" s="1" t="s">
        <v>81</v>
      </c>
      <c r="D6" s="15" t="s">
        <v>74</v>
      </c>
      <c r="E6" s="1" t="s">
        <v>76</v>
      </c>
      <c r="F6" s="14" t="s">
        <v>77</v>
      </c>
      <c r="G6" s="14" t="s">
        <v>78</v>
      </c>
    </row>
    <row r="7" spans="1:7">
      <c r="B7" s="1" t="s">
        <v>62</v>
      </c>
      <c r="C7" s="1" t="s">
        <v>73</v>
      </c>
      <c r="D7" s="15" t="s">
        <v>75</v>
      </c>
      <c r="E7" s="1">
        <v>4.8</v>
      </c>
      <c r="F7" s="1">
        <v>22.44</v>
      </c>
      <c r="G7" s="1">
        <f>F7*3.28084</f>
        <v>73.622049599999997</v>
      </c>
    </row>
    <row r="8" spans="1:7">
      <c r="A8" s="1" t="s">
        <v>59</v>
      </c>
      <c r="B8" s="16" t="s">
        <v>60</v>
      </c>
    </row>
    <row r="9" spans="1:7">
      <c r="A9" s="12">
        <f>D2*C2</f>
        <v>121.50000000000001</v>
      </c>
      <c r="B9" s="12">
        <f>A9*E2</f>
        <v>972.00000000000011</v>
      </c>
    </row>
    <row r="10" spans="1:7">
      <c r="A10" s="25" t="s">
        <v>72</v>
      </c>
      <c r="B10" s="25"/>
      <c r="C10" s="25"/>
      <c r="D10" s="25"/>
      <c r="E10" s="25"/>
      <c r="F10" s="25"/>
      <c r="G10" s="25"/>
    </row>
    <row r="11" spans="1:7">
      <c r="A11" s="1" t="s">
        <v>63</v>
      </c>
      <c r="B11" s="1" t="s">
        <v>64</v>
      </c>
      <c r="C11" s="1" t="s">
        <v>70</v>
      </c>
      <c r="D11" s="1" t="s">
        <v>65</v>
      </c>
      <c r="E11" s="1" t="s">
        <v>66</v>
      </c>
      <c r="F11" s="1" t="s">
        <v>67</v>
      </c>
      <c r="G11" s="1" t="s">
        <v>71</v>
      </c>
    </row>
    <row r="12" spans="1:7">
      <c r="A12" s="12">
        <f>12.5*SQRT($A$9)</f>
        <v>137.78379803155377</v>
      </c>
      <c r="B12" s="12">
        <f>A12*60</f>
        <v>8267.0278818932256</v>
      </c>
      <c r="C12" s="12">
        <f>SQRT(((4*$B$9)/(PI()*B12)))</f>
        <v>0.386913150250629</v>
      </c>
      <c r="D12" s="12">
        <f>C12*(39.3701/3.2804)</f>
        <v>4.643582921802917</v>
      </c>
      <c r="E12" s="12">
        <v>6</v>
      </c>
      <c r="F12" s="12">
        <f>E12*(3.28084/39.3701)</f>
        <v>0.49999974600013719</v>
      </c>
      <c r="G12" s="12">
        <f>B12*((PI()*POWER(F12,2))/4)</f>
        <v>1623.2254796011557</v>
      </c>
    </row>
    <row r="13" spans="1:7">
      <c r="A13" s="47"/>
      <c r="B13" s="47"/>
      <c r="C13" s="47"/>
      <c r="D13" s="47"/>
      <c r="E13" s="47"/>
      <c r="F13" s="47"/>
      <c r="G13" s="47"/>
    </row>
    <row r="14" spans="1:7">
      <c r="A14" s="25" t="s">
        <v>68</v>
      </c>
      <c r="B14" s="25"/>
      <c r="C14" s="25"/>
      <c r="D14" s="25"/>
      <c r="E14" s="25"/>
      <c r="F14" s="13"/>
      <c r="G14" s="13"/>
    </row>
    <row r="15" spans="1:7">
      <c r="A15" s="1" t="s">
        <v>82</v>
      </c>
      <c r="B15" s="1" t="s">
        <v>69</v>
      </c>
      <c r="C15" s="1" t="s">
        <v>83</v>
      </c>
      <c r="D15" s="14" t="s">
        <v>84</v>
      </c>
      <c r="E15" s="14" t="s">
        <v>85</v>
      </c>
      <c r="F15" s="13"/>
      <c r="G15" s="13"/>
    </row>
    <row r="16" spans="1:7">
      <c r="A16" s="1">
        <f>POWER(($A$12/100),2)*5</f>
        <v>9.4921874999999982</v>
      </c>
      <c r="B16" s="1">
        <v>0</v>
      </c>
      <c r="C16" s="1">
        <f>POWER(($A$12/100),2)*(($G$7*$E$7)/100)</f>
        <v>6.7088092697999988</v>
      </c>
      <c r="D16" s="1">
        <v>4</v>
      </c>
      <c r="E16" s="1">
        <f>SUM(A16:D16)</f>
        <v>20.200996769799996</v>
      </c>
    </row>
    <row r="18" spans="1:6">
      <c r="A18" s="25" t="s">
        <v>86</v>
      </c>
      <c r="B18" s="25"/>
      <c r="C18" s="25"/>
      <c r="D18" s="25"/>
      <c r="E18" s="25"/>
    </row>
    <row r="19" spans="1:6">
      <c r="A19" s="1" t="s">
        <v>87</v>
      </c>
      <c r="B19" s="1" t="s">
        <v>88</v>
      </c>
      <c r="C19" s="1" t="s">
        <v>91</v>
      </c>
      <c r="D19" s="14" t="s">
        <v>92</v>
      </c>
      <c r="E19" s="14" t="s">
        <v>93</v>
      </c>
      <c r="F19" s="14" t="s">
        <v>94</v>
      </c>
    </row>
    <row r="20" spans="1:6">
      <c r="A20" s="1">
        <f>(POWER($A$12,2)*$E$2)/100000</f>
        <v>1.51875</v>
      </c>
      <c r="B20" s="1">
        <f>($E$2/1000)*(G5+(G7/5))</f>
        <v>0.19653543936000001</v>
      </c>
      <c r="C20" s="1">
        <f>6*((E2*POWER(A12,2))/200000)</f>
        <v>4.5562500000000004</v>
      </c>
      <c r="D20" s="1">
        <v>0</v>
      </c>
      <c r="E20" s="1">
        <f>SUM(A20:D20)</f>
        <v>6.2715354393600009</v>
      </c>
      <c r="F20" s="1">
        <f>(E20*3200)/G12</f>
        <v>12.363601765839183</v>
      </c>
    </row>
    <row r="21" spans="1:6">
      <c r="A21" s="18"/>
    </row>
    <row r="22" spans="1:6">
      <c r="A22" s="1" t="s">
        <v>95</v>
      </c>
      <c r="B22" s="1" t="s">
        <v>96</v>
      </c>
    </row>
    <row r="23" spans="1:6">
      <c r="A23" s="1">
        <f>(E16+F20)/16</f>
        <v>2.0352874084774486</v>
      </c>
      <c r="B23" s="1">
        <f>(G12*A23)/175</f>
        <v>18.878459312868571</v>
      </c>
    </row>
  </sheetData>
  <mergeCells count="5">
    <mergeCell ref="A10:G10"/>
    <mergeCell ref="A13:G13"/>
    <mergeCell ref="B5:C5"/>
    <mergeCell ref="A14:E14"/>
    <mergeCell ref="A18:E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14" sqref="A14"/>
    </sheetView>
  </sheetViews>
  <sheetFormatPr baseColWidth="10" defaultRowHeight="15"/>
  <cols>
    <col min="1" max="1" width="29.42578125" customWidth="1"/>
    <col min="2" max="2" width="29" customWidth="1"/>
    <col min="3" max="3" width="29.28515625" customWidth="1"/>
    <col min="4" max="4" width="33.85546875" customWidth="1"/>
    <col min="5" max="5" width="48.28515625" customWidth="1"/>
    <col min="6" max="6" width="49.42578125" customWidth="1"/>
  </cols>
  <sheetData>
    <row r="1" spans="1:9">
      <c r="A1" s="27" t="s">
        <v>0</v>
      </c>
      <c r="B1" s="28"/>
      <c r="C1" s="28"/>
      <c r="D1" s="28"/>
      <c r="E1" s="28"/>
      <c r="F1" s="28"/>
      <c r="G1" s="28"/>
      <c r="H1" s="29"/>
    </row>
    <row r="2" spans="1:9">
      <c r="A2" s="7" t="s">
        <v>15</v>
      </c>
      <c r="B2" s="7" t="s">
        <v>16</v>
      </c>
      <c r="C2" s="7" t="s">
        <v>17</v>
      </c>
      <c r="D2" s="7" t="s">
        <v>18</v>
      </c>
      <c r="E2" s="30"/>
      <c r="F2" s="31"/>
      <c r="G2" s="31"/>
      <c r="H2" s="32"/>
    </row>
    <row r="3" spans="1:9">
      <c r="A3" s="7">
        <v>200</v>
      </c>
      <c r="B3" s="7">
        <v>971.83</v>
      </c>
      <c r="C3" s="7">
        <f>A3/B3</f>
        <v>0.20579731022915529</v>
      </c>
      <c r="D3" s="7">
        <f>1.2*C3</f>
        <v>0.24695677227498633</v>
      </c>
      <c r="E3" s="33"/>
      <c r="F3" s="34"/>
      <c r="G3" s="34"/>
      <c r="H3" s="35"/>
    </row>
    <row r="4" spans="1:9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</row>
    <row r="5" spans="1:9">
      <c r="A5" s="7">
        <v>0.84499999999999997</v>
      </c>
      <c r="B5" s="7">
        <v>0.36</v>
      </c>
      <c r="C5" s="7">
        <f>B5*(A5/2)</f>
        <v>0.15209999999999999</v>
      </c>
      <c r="D5" s="7">
        <f>(1/12)*PI()*POWER(A5,2)*C5</f>
        <v>2.8432251927527047E-2</v>
      </c>
      <c r="E5" s="7">
        <f>D3-D5</f>
        <v>0.21852452034745928</v>
      </c>
      <c r="F5" s="7">
        <f>(E5/(PI()*POWER(A5,2)))*4</f>
        <v>0.38966991463978001</v>
      </c>
      <c r="G5" s="7">
        <f>F5/A5</f>
        <v>0.46114782797607101</v>
      </c>
      <c r="H5" s="7">
        <f>0.1*(F5+C5)</f>
        <v>5.4176991463978003E-2</v>
      </c>
    </row>
    <row r="6" spans="1:9">
      <c r="A6" s="9"/>
      <c r="B6" s="9"/>
      <c r="C6" s="9"/>
      <c r="D6" s="9"/>
      <c r="E6" s="9"/>
      <c r="F6" s="9"/>
      <c r="G6" s="9"/>
      <c r="H6" s="9"/>
    </row>
    <row r="13" spans="1:9">
      <c r="A13" s="45" t="s">
        <v>19</v>
      </c>
      <c r="B13" s="45"/>
      <c r="C13" s="45"/>
      <c r="D13" s="45"/>
      <c r="E13" s="45"/>
      <c r="F13" s="45"/>
      <c r="G13" s="45"/>
      <c r="H13" s="45"/>
      <c r="I13" s="45"/>
    </row>
    <row r="14" spans="1:9">
      <c r="A14" s="2" t="s">
        <v>16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  <c r="H14" s="2" t="s">
        <v>26</v>
      </c>
      <c r="I14" s="2" t="s">
        <v>27</v>
      </c>
    </row>
    <row r="15" spans="1:9">
      <c r="A15" s="2">
        <v>1155</v>
      </c>
      <c r="B15" s="2">
        <v>9.8000000000000007</v>
      </c>
      <c r="C15" s="2">
        <f>C5+F5</f>
        <v>0.54176991463977997</v>
      </c>
      <c r="D15" s="2">
        <f>A15*B15*C15</f>
        <v>6132.2936638076699</v>
      </c>
      <c r="E15" s="2">
        <f>D15*(14.6951/10331.9272)</f>
        <v>8.7219612444636745</v>
      </c>
      <c r="F15" s="2">
        <v>0.85</v>
      </c>
      <c r="G15" s="2">
        <v>10000</v>
      </c>
      <c r="H15" s="2">
        <f>A5/2</f>
        <v>0.42249999999999999</v>
      </c>
      <c r="I15" s="2">
        <f>H15*39.3701</f>
        <v>16.633867250000002</v>
      </c>
    </row>
    <row r="16" spans="1:9">
      <c r="A16" s="2">
        <f>0.385*F15*G15</f>
        <v>3272.5</v>
      </c>
      <c r="B16" s="2" t="str">
        <f>IF(A16&gt;30,"Ok","no sirve")</f>
        <v>Ok</v>
      </c>
      <c r="C16" s="19"/>
      <c r="D16" s="20"/>
      <c r="E16" s="20"/>
      <c r="F16" s="20"/>
      <c r="G16" s="20"/>
      <c r="H16" s="20"/>
      <c r="I16" s="21"/>
    </row>
    <row r="17" spans="1:9">
      <c r="A17" s="2">
        <f>1.25*G15*F15</f>
        <v>10625</v>
      </c>
      <c r="B17" s="2" t="str">
        <f>IF(A17&gt;30,"ok","no sirve")</f>
        <v>ok</v>
      </c>
      <c r="C17" s="46"/>
      <c r="D17" s="23"/>
      <c r="E17" s="23"/>
      <c r="F17" s="23"/>
      <c r="G17" s="23"/>
      <c r="H17" s="23"/>
      <c r="I17" s="24"/>
    </row>
    <row r="18" spans="1:9">
      <c r="A18" s="2" t="s">
        <v>29</v>
      </c>
      <c r="B18" s="2" t="s">
        <v>28</v>
      </c>
      <c r="C18" s="2" t="s">
        <v>30</v>
      </c>
      <c r="D18" s="2" t="s">
        <v>28</v>
      </c>
      <c r="E18" s="2" t="s">
        <v>31</v>
      </c>
      <c r="F18" s="19"/>
      <c r="G18" s="20"/>
      <c r="H18" s="20"/>
      <c r="I18" s="21"/>
    </row>
    <row r="19" spans="1:9">
      <c r="A19" s="3">
        <f>(14.6951*I15)/((G15*F15)-(0.6*14.6951))</f>
        <v>2.8787077648980086E-2</v>
      </c>
      <c r="B19" s="3">
        <f>A19*(1/39.3701)*(100/1)*(10/1)</f>
        <v>0.73119137744075036</v>
      </c>
      <c r="C19" s="3">
        <f>(14.6951*I15)/((G15*F15*2)+(0.4*14.6951))</f>
        <v>1.437363845903925E-2</v>
      </c>
      <c r="D19" s="4"/>
      <c r="E19" s="3">
        <f>IF(B19&gt;D22,B19,D22)</f>
        <v>0.73119137744075036</v>
      </c>
      <c r="F19" s="22"/>
      <c r="G19" s="23"/>
      <c r="H19" s="23"/>
      <c r="I19" s="24"/>
    </row>
    <row r="20" spans="1:9">
      <c r="A20" s="2" t="s">
        <v>32</v>
      </c>
      <c r="B20" s="2"/>
      <c r="C20" s="2"/>
      <c r="D20" s="2"/>
      <c r="E20" s="2"/>
      <c r="F20" s="2"/>
      <c r="G20" s="4"/>
      <c r="H20" s="4"/>
      <c r="I20" s="4"/>
    </row>
    <row r="21" spans="1:9">
      <c r="A21" s="2" t="s">
        <v>34</v>
      </c>
      <c r="B21" s="2" t="s">
        <v>33</v>
      </c>
      <c r="C21" s="2" t="s">
        <v>35</v>
      </c>
      <c r="D21" s="2" t="s">
        <v>36</v>
      </c>
      <c r="E21" s="2" t="s">
        <v>37</v>
      </c>
      <c r="F21" s="2" t="s">
        <v>38</v>
      </c>
      <c r="G21" s="4"/>
      <c r="H21" s="4"/>
      <c r="I21" s="4"/>
    </row>
    <row r="22" spans="1:9">
      <c r="A22" s="2">
        <v>8.0000000000000002E-3</v>
      </c>
      <c r="B22" s="2">
        <v>10</v>
      </c>
      <c r="C22" s="2">
        <f>A22*B22</f>
        <v>0.08</v>
      </c>
      <c r="D22" s="2">
        <f>C19*(1/39.3701)*(100/1)*(10/1)</f>
        <v>0.36509021971087829</v>
      </c>
      <c r="E22" s="2">
        <f>D22+E19</f>
        <v>1.0962815971516287</v>
      </c>
      <c r="F22" s="2">
        <f>C22+A19</f>
        <v>0.10878707764898009</v>
      </c>
      <c r="G22" s="4"/>
      <c r="H22" s="4"/>
      <c r="I22" s="4"/>
    </row>
    <row r="24" spans="1:9">
      <c r="A24" s="1" t="s">
        <v>39</v>
      </c>
      <c r="C24" s="25" t="s">
        <v>44</v>
      </c>
      <c r="D24" s="25"/>
    </row>
    <row r="25" spans="1:9">
      <c r="A25" s="2" t="s">
        <v>40</v>
      </c>
      <c r="C25" s="10" t="s">
        <v>45</v>
      </c>
      <c r="D25" s="10" t="s">
        <v>46</v>
      </c>
    </row>
    <row r="26" spans="1:9">
      <c r="A26" s="1">
        <f>0.7*A5</f>
        <v>0.59149999999999991</v>
      </c>
      <c r="B26" t="str">
        <f>IF(A26&gt;(A5/2),"ok","no sirve")</f>
        <v>ok</v>
      </c>
      <c r="C26" s="10">
        <f>(POWER(A26,2)*1.67*B3)/1.2</f>
        <v>473.18941863185398</v>
      </c>
      <c r="D26" s="10">
        <v>1.4</v>
      </c>
    </row>
    <row r="27" spans="1:9">
      <c r="A27" s="1" t="s">
        <v>41</v>
      </c>
      <c r="C27" s="10" t="s">
        <v>47</v>
      </c>
      <c r="D27" s="10" t="s">
        <v>49</v>
      </c>
    </row>
    <row r="28" spans="1:9">
      <c r="A28" s="1" t="s">
        <v>42</v>
      </c>
      <c r="C28" s="10">
        <f>(D26*B3*POWER(1.67,3)*POWER(A26,5))/9.81</f>
        <v>46.770551179207679</v>
      </c>
      <c r="D28" s="10">
        <f>C28/76.04</f>
        <v>0.61507826379810204</v>
      </c>
    </row>
    <row r="29" spans="1:9">
      <c r="A29" s="1">
        <f>A26/8</f>
        <v>7.3937499999999989E-2</v>
      </c>
      <c r="C29" s="25" t="s">
        <v>48</v>
      </c>
      <c r="D29" s="25"/>
    </row>
    <row r="30" spans="1:9">
      <c r="A30" s="1" t="s">
        <v>43</v>
      </c>
      <c r="C30" s="25">
        <f>D28*0.8</f>
        <v>0.49206261103848165</v>
      </c>
      <c r="D30" s="25"/>
    </row>
    <row r="31" spans="1:9">
      <c r="A31" s="1">
        <f>F5/3</f>
        <v>0.12988997154659335</v>
      </c>
    </row>
  </sheetData>
  <mergeCells count="8">
    <mergeCell ref="C29:D29"/>
    <mergeCell ref="C30:D30"/>
    <mergeCell ref="A1:H1"/>
    <mergeCell ref="E2:H3"/>
    <mergeCell ref="A13:I13"/>
    <mergeCell ref="C16:I17"/>
    <mergeCell ref="F18:I19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Recipientes y mezclador</vt:lpstr>
      <vt:lpstr>Transporte neumatico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2008-09-19T18:06:51Z</dcterms:created>
  <dcterms:modified xsi:type="dcterms:W3CDTF">2008-10-01T14:22:38Z</dcterms:modified>
</cp:coreProperties>
</file>