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43.bin" ContentType="application/vnd.openxmlformats-officedocument.oleObject"/>
  <Override PartName="/xl/embeddings/oleObject61.bin" ContentType="application/vnd.openxmlformats-officedocument.oleObject"/>
  <Override PartName="/xl/embeddings/oleObject90.bin" ContentType="application/vnd.openxmlformats-officedocument.oleObject"/>
  <Override PartName="/xl/embeddings/oleObject113.bin" ContentType="application/vnd.openxmlformats-officedocument.oleObject"/>
  <Override PartName="/xl/embeddings/oleObject131.bin" ContentType="application/vnd.openxmlformats-officedocument.oleObject"/>
  <Override PartName="/xl/embeddings/oleObject142.bin" ContentType="application/vnd.openxmlformats-officedocument.oleObject"/>
  <Override PartName="/xl/styles.xml" ContentType="application/vnd.openxmlformats-officedocument.spreadsheetml.styles+xml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embeddings/oleObject50.bin" ContentType="application/vnd.openxmlformats-officedocument.oleObject"/>
  <Override PartName="/xl/embeddings/oleObject102.bin" ContentType="application/vnd.openxmlformats-officedocument.oleObject"/>
  <Override PartName="/xl/embeddings/oleObject120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xml" ContentType="application/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embeddings/oleObject88.bin" ContentType="application/vnd.openxmlformats-officedocument.oleObject"/>
  <Override PartName="/xl/embeddings/oleObject99.bin" ContentType="application/vnd.openxmlformats-officedocument.oleObject"/>
  <Override PartName="/xl/embeddings/oleObject48.bin" ContentType="application/vnd.openxmlformats-officedocument.oleObject"/>
  <Override PartName="/xl/embeddings/oleObject59.bin" ContentType="application/vnd.openxmlformats-officedocument.oleObject"/>
  <Override PartName="/xl/embeddings/oleObject77.bin" ContentType="application/vnd.openxmlformats-officedocument.oleObject"/>
  <Override PartName="/xl/embeddings/oleObject95.bin" ContentType="application/vnd.openxmlformats-officedocument.oleObject"/>
  <Override PartName="/xl/embeddings/oleObject129.bin" ContentType="application/vnd.openxmlformats-officedocument.oleObject"/>
  <Override PartName="/xl/embeddings/oleObject147.bin" ContentType="application/vnd.openxmlformats-officedocument.oleObject"/>
  <Override PartName="/xl/sharedStrings.xml" ContentType="application/vnd.openxmlformats-officedocument.spreadsheetml.sharedStrings+xml"/>
  <Override PartName="/xl/embeddings/oleObject19.bin" ContentType="application/vnd.openxmlformats-officedocument.oleObject"/>
  <Override PartName="/xl/embeddings/oleObject37.bin" ContentType="application/vnd.openxmlformats-officedocument.oleObject"/>
  <Override PartName="/xl/embeddings/oleObject66.bin" ContentType="application/vnd.openxmlformats-officedocument.oleObject"/>
  <Override PartName="/xl/embeddings/oleObject84.bin" ContentType="application/vnd.openxmlformats-officedocument.oleObject"/>
  <Override PartName="/xl/embeddings/oleObject107.bin" ContentType="application/vnd.openxmlformats-officedocument.oleObject"/>
  <Override PartName="/xl/embeddings/oleObject118.bin" ContentType="application/vnd.openxmlformats-officedocument.oleObject"/>
  <Override PartName="/xl/embeddings/oleObject136.bin" ContentType="application/vnd.openxmlformats-officedocument.oleObject"/>
  <Override PartName="/xl/embeddings/oleObject9.bin" ContentType="application/vnd.openxmlformats-officedocument.oleObject"/>
  <Override PartName="/xl/embeddings/oleObject26.bin" ContentType="application/vnd.openxmlformats-officedocument.oleObject"/>
  <Override PartName="/xl/embeddings/oleObject44.bin" ContentType="application/vnd.openxmlformats-officedocument.oleObject"/>
  <Override PartName="/xl/embeddings/oleObject55.bin" ContentType="application/vnd.openxmlformats-officedocument.oleObject"/>
  <Override PartName="/xl/embeddings/oleObject73.bin" ContentType="application/vnd.openxmlformats-officedocument.oleObject"/>
  <Override PartName="/xl/embeddings/oleObject91.bin" ContentType="application/vnd.openxmlformats-officedocument.oleObject"/>
  <Override PartName="/xl/embeddings/oleObject125.bin" ContentType="application/vnd.openxmlformats-officedocument.oleObject"/>
  <Override PartName="/xl/embeddings/oleObject143.bin" ContentType="application/vnd.openxmlformats-officedocument.oleObject"/>
  <Default Extension="bin" ContentType="application/vnd.openxmlformats-officedocument.spreadsheetml.printerSettings"/>
  <Override PartName="/xl/embeddings/oleObject15.bin" ContentType="application/vnd.openxmlformats-officedocument.oleObject"/>
  <Default Extension="png" ContentType="image/png"/>
  <Override PartName="/xl/embeddings/oleObject33.bin" ContentType="application/vnd.openxmlformats-officedocument.oleObject"/>
  <Override PartName="/xl/embeddings/oleObject62.bin" ContentType="application/vnd.openxmlformats-officedocument.oleObject"/>
  <Override PartName="/xl/embeddings/oleObject80.bin" ContentType="application/vnd.openxmlformats-officedocument.oleObject"/>
  <Override PartName="/xl/embeddings/oleObject103.bin" ContentType="application/vnd.openxmlformats-officedocument.oleObject"/>
  <Override PartName="/xl/embeddings/oleObject114.bin" ContentType="application/vnd.openxmlformats-officedocument.oleObject"/>
  <Override PartName="/xl/embeddings/oleObject132.bin" ContentType="application/vnd.openxmlformats-officedocument.oleObject"/>
  <Override PartName="/xl/embeddings/oleObject150.bin" ContentType="application/vnd.openxmlformats-officedocument.oleObject"/>
  <Override PartName="/xl/embeddings/oleObject5.bin" ContentType="application/vnd.openxmlformats-officedocument.oleObject"/>
  <Override PartName="/xl/embeddings/oleObject22.bin" ContentType="application/vnd.openxmlformats-officedocument.oleObject"/>
  <Override PartName="/xl/embeddings/oleObject40.bin" ContentType="application/vnd.openxmlformats-officedocument.oleObject"/>
  <Override PartName="/xl/embeddings/oleObject51.bin" ContentType="application/vnd.openxmlformats-officedocument.oleObject"/>
  <Override PartName="/xl/embeddings/oleObject110.bin" ContentType="application/vnd.openxmlformats-officedocument.oleObject"/>
  <Override PartName="/xl/embeddings/oleObject121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mbeddings/oleObject89.bin" ContentType="application/vnd.openxmlformats-officedocument.oleObject"/>
  <Default Extension="vml" ContentType="application/vnd.openxmlformats-officedocument.vmlDrawing"/>
  <Override PartName="/xl/embeddings/oleObject49.bin" ContentType="application/vnd.openxmlformats-officedocument.oleObject"/>
  <Override PartName="/xl/embeddings/oleObject58.bin" ContentType="application/vnd.openxmlformats-officedocument.oleObject"/>
  <Override PartName="/xl/embeddings/oleObject67.bin" ContentType="application/vnd.openxmlformats-officedocument.oleObject"/>
  <Override PartName="/xl/embeddings/oleObject78.bin" ContentType="application/vnd.openxmlformats-officedocument.oleObject"/>
  <Override PartName="/xl/embeddings/oleObject87.bin" ContentType="application/vnd.openxmlformats-officedocument.oleObject"/>
  <Override PartName="/xl/embeddings/oleObject96.bin" ContentType="application/vnd.openxmlformats-officedocument.oleObject"/>
  <Override PartName="/xl/embeddings/oleObject119.bin" ContentType="application/vnd.openxmlformats-officedocument.oleObject"/>
  <Override PartName="/xl/embeddings/oleObject128.bin" ContentType="application/vnd.openxmlformats-officedocument.oleObject"/>
  <Override PartName="/xl/embeddings/oleObject139.bin" ContentType="application/vnd.openxmlformats-officedocument.oleObject"/>
  <Override PartName="/xl/embeddings/oleObject148.bin" ContentType="application/vnd.openxmlformats-officedocument.oleObject"/>
  <Override PartName="/xl/calcChain.xml" ContentType="application/vnd.openxmlformats-officedocument.spreadsheetml.calcChain+xml"/>
  <Override PartName="/xl/embeddings/oleObject18.bin" ContentType="application/vnd.openxmlformats-officedocument.oleObject"/>
  <Override PartName="/xl/embeddings/oleObject29.bin" ContentType="application/vnd.openxmlformats-officedocument.oleObject"/>
  <Override PartName="/xl/embeddings/oleObject38.bin" ContentType="application/vnd.openxmlformats-officedocument.oleObject"/>
  <Override PartName="/xl/embeddings/oleObject47.bin" ContentType="application/vnd.openxmlformats-officedocument.oleObject"/>
  <Override PartName="/xl/embeddings/oleObject56.bin" ContentType="application/vnd.openxmlformats-officedocument.oleObject"/>
  <Override PartName="/xl/embeddings/oleObject65.bin" ContentType="application/vnd.openxmlformats-officedocument.oleObject"/>
  <Override PartName="/xl/embeddings/oleObject76.bin" ContentType="application/vnd.openxmlformats-officedocument.oleObject"/>
  <Override PartName="/xl/embeddings/oleObject85.bin" ContentType="application/vnd.openxmlformats-officedocument.oleObject"/>
  <Override PartName="/xl/embeddings/oleObject94.bin" ContentType="application/vnd.openxmlformats-officedocument.oleObject"/>
  <Override PartName="/xl/embeddings/oleObject108.bin" ContentType="application/vnd.openxmlformats-officedocument.oleObject"/>
  <Override PartName="/xl/embeddings/oleObject117.bin" ContentType="application/vnd.openxmlformats-officedocument.oleObject"/>
  <Override PartName="/xl/embeddings/oleObject126.bin" ContentType="application/vnd.openxmlformats-officedocument.oleObject"/>
  <Override PartName="/xl/embeddings/oleObject137.bin" ContentType="application/vnd.openxmlformats-officedocument.oleObject"/>
  <Override PartName="/xl/embeddings/oleObject146.bin" ContentType="application/vnd.openxmlformats-officedocument.oleObject"/>
  <Override PartName="/xl/embeddings/oleObject16.bin" ContentType="application/vnd.openxmlformats-officedocument.oleObject"/>
  <Override PartName="/xl/embeddings/oleObject25.bin" ContentType="application/vnd.openxmlformats-officedocument.oleObject"/>
  <Override PartName="/xl/embeddings/oleObject27.bin" ContentType="application/vnd.openxmlformats-officedocument.oleObject"/>
  <Override PartName="/xl/embeddings/oleObject36.bin" ContentType="application/vnd.openxmlformats-officedocument.oleObject"/>
  <Override PartName="/xl/embeddings/oleObject45.bin" ContentType="application/vnd.openxmlformats-officedocument.oleObject"/>
  <Override PartName="/xl/embeddings/oleObject54.bin" ContentType="application/vnd.openxmlformats-officedocument.oleObject"/>
  <Override PartName="/xl/embeddings/oleObject63.bin" ContentType="application/vnd.openxmlformats-officedocument.oleObject"/>
  <Override PartName="/xl/embeddings/oleObject72.bin" ContentType="application/vnd.openxmlformats-officedocument.oleObject"/>
  <Override PartName="/xl/embeddings/oleObject74.bin" ContentType="application/vnd.openxmlformats-officedocument.oleObject"/>
  <Override PartName="/xl/embeddings/oleObject83.bin" ContentType="application/vnd.openxmlformats-officedocument.oleObject"/>
  <Override PartName="/xl/embeddings/oleObject92.bin" ContentType="application/vnd.openxmlformats-officedocument.oleObject"/>
  <Override PartName="/xl/embeddings/oleObject106.bin" ContentType="application/vnd.openxmlformats-officedocument.oleObject"/>
  <Override PartName="/xl/embeddings/oleObject115.bin" ContentType="application/vnd.openxmlformats-officedocument.oleObject"/>
  <Override PartName="/xl/embeddings/oleObject124.bin" ContentType="application/vnd.openxmlformats-officedocument.oleObject"/>
  <Override PartName="/xl/embeddings/oleObject133.bin" ContentType="application/vnd.openxmlformats-officedocument.oleObject"/>
  <Override PartName="/xl/embeddings/oleObject135.bin" ContentType="application/vnd.openxmlformats-officedocument.oleObject"/>
  <Override PartName="/xl/embeddings/oleObject144.bin" ContentType="application/vnd.openxmlformats-officedocument.oleObject"/>
  <Override PartName="/docProps/core.xml" ContentType="application/vnd.openxmlformats-package.core-properties+xml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embeddings/oleObject52.bin" ContentType="application/vnd.openxmlformats-officedocument.oleObject"/>
  <Override PartName="/xl/embeddings/oleObject70.bin" ContentType="application/vnd.openxmlformats-officedocument.oleObject"/>
  <Override PartName="/xl/embeddings/oleObject81.bin" ContentType="application/vnd.openxmlformats-officedocument.oleObject"/>
  <Override PartName="/xl/embeddings/oleObject104.bin" ContentType="application/vnd.openxmlformats-officedocument.oleObject"/>
  <Override PartName="/xl/embeddings/oleObject122.bin" ContentType="application/vnd.openxmlformats-officedocument.oleObject"/>
  <Override PartName="/xl/embeddings/oleObject151.bin" ContentType="application/vnd.openxmlformats-officedocument.oleObject"/>
  <Override PartName="/xl/theme/theme1.xml" ContentType="application/vnd.openxmlformats-officedocument.theme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41.bin" ContentType="application/vnd.openxmlformats-officedocument.oleObject"/>
  <Override PartName="/xl/embeddings/oleObject111.bin" ContentType="application/vnd.openxmlformats-officedocument.oleObject"/>
  <Override PartName="/xl/embeddings/oleObject140.bin" ContentType="application/vnd.openxmlformats-officedocument.oleObject"/>
  <Default Extension="wmf" ContentType="image/x-wmf"/>
  <Override PartName="/xl/embeddings/oleObject30.bin" ContentType="application/vnd.openxmlformats-officedocument.oleObject"/>
  <Override PartName="/xl/embeddings/oleObject100.bin" ContentType="application/vnd.openxmlformats-officedocument.oleObject"/>
  <Default Extension="rels" ContentType="application/vnd.openxmlformats-package.relationships+xml"/>
  <Override PartName="/xl/embeddings/oleObject2.bin" ContentType="application/vnd.openxmlformats-officedocument.oleObject"/>
  <Override PartName="/xl/embeddings/oleObject79.bin" ContentType="application/vnd.openxmlformats-officedocument.oleObject"/>
  <Override PartName="/xl/embeddings/oleObject149.bin" ContentType="application/vnd.openxmlformats-officedocument.oleObject"/>
  <Override PartName="/xl/worksheets/sheet1.xml" ContentType="application/vnd.openxmlformats-officedocument.spreadsheetml.worksheet+xml"/>
  <Override PartName="/xl/embeddings/oleObject39.bin" ContentType="application/vnd.openxmlformats-officedocument.oleObject"/>
  <Override PartName="/xl/embeddings/oleObject68.bin" ContentType="application/vnd.openxmlformats-officedocument.oleObject"/>
  <Override PartName="/xl/embeddings/oleObject86.bin" ContentType="application/vnd.openxmlformats-officedocument.oleObject"/>
  <Override PartName="/xl/embeddings/oleObject97.bin" ContentType="application/vnd.openxmlformats-officedocument.oleObject"/>
  <Override PartName="/xl/embeddings/oleObject109.bin" ContentType="application/vnd.openxmlformats-officedocument.oleObject"/>
  <Override PartName="/xl/embeddings/oleObject138.bin" ContentType="application/vnd.openxmlformats-officedocument.oleObject"/>
  <Override PartName="/xl/embeddings/oleObject28.bin" ContentType="application/vnd.openxmlformats-officedocument.oleObject"/>
  <Override PartName="/xl/embeddings/oleObject46.bin" ContentType="application/vnd.openxmlformats-officedocument.oleObject"/>
  <Override PartName="/xl/embeddings/oleObject57.bin" ContentType="application/vnd.openxmlformats-officedocument.oleObject"/>
  <Override PartName="/xl/embeddings/oleObject75.bin" ContentType="application/vnd.openxmlformats-officedocument.oleObject"/>
  <Override PartName="/xl/embeddings/oleObject93.bin" ContentType="application/vnd.openxmlformats-officedocument.oleObject"/>
  <Override PartName="/xl/embeddings/oleObject127.bin" ContentType="application/vnd.openxmlformats-officedocument.oleObject"/>
  <Override PartName="/xl/embeddings/oleObject145.bin" ContentType="application/vnd.openxmlformats-officedocument.oleObject"/>
  <Override PartName="/xl/embeddings/oleObject17.bin" ContentType="application/vnd.openxmlformats-officedocument.oleObject"/>
  <Override PartName="/xl/embeddings/oleObject35.bin" ContentType="application/vnd.openxmlformats-officedocument.oleObject"/>
  <Override PartName="/xl/embeddings/oleObject64.bin" ContentType="application/vnd.openxmlformats-officedocument.oleObject"/>
  <Override PartName="/xl/embeddings/oleObject82.bin" ContentType="application/vnd.openxmlformats-officedocument.oleObject"/>
  <Override PartName="/xl/embeddings/oleObject105.bin" ContentType="application/vnd.openxmlformats-officedocument.oleObject"/>
  <Override PartName="/xl/embeddings/oleObject116.bin" ContentType="application/vnd.openxmlformats-officedocument.oleObject"/>
  <Override PartName="/xl/embeddings/oleObject134.bin" ContentType="application/vnd.openxmlformats-officedocument.oleObject"/>
  <Override PartName="/xl/embeddings/oleObject7.bin" ContentType="application/vnd.openxmlformats-officedocument.oleObject"/>
  <Override PartName="/xl/embeddings/oleObject24.bin" ContentType="application/vnd.openxmlformats-officedocument.oleObject"/>
  <Override PartName="/xl/embeddings/oleObject42.bin" ContentType="application/vnd.openxmlformats-officedocument.oleObject"/>
  <Override PartName="/xl/embeddings/oleObject53.bin" ContentType="application/vnd.openxmlformats-officedocument.oleObject"/>
  <Override PartName="/xl/embeddings/oleObject71.bin" ContentType="application/vnd.openxmlformats-officedocument.oleObject"/>
  <Override PartName="/xl/embeddings/oleObject123.bin" ContentType="application/vnd.openxmlformats-officedocument.oleObject"/>
  <Override PartName="/xl/embeddings/oleObject141.bin" ContentType="application/vnd.openxmlformats-officedocument.oleObject"/>
  <Override PartName="/xl/embeddings/oleObject13.bin" ContentType="application/vnd.openxmlformats-officedocument.oleObject"/>
  <Override PartName="/xl/embeddings/oleObject31.bin" ContentType="application/vnd.openxmlformats-officedocument.oleObject"/>
  <Override PartName="/xl/embeddings/oleObject60.bin" ContentType="application/vnd.openxmlformats-officedocument.oleObject"/>
  <Override PartName="/xl/embeddings/oleObject101.bin" ContentType="application/vnd.openxmlformats-officedocument.oleObject"/>
  <Override PartName="/xl/embeddings/oleObject112.bin" ContentType="application/vnd.openxmlformats-officedocument.oleObject"/>
  <Override PartName="/xl/embeddings/oleObject130.bin" ContentType="application/vnd.openxmlformats-officedocument.oleObject"/>
  <Override PartName="/xl/embeddings/oleObject3.bin" ContentType="application/vnd.openxmlformats-officedocument.oleObject"/>
  <Override PartName="/xl/embeddings/oleObject20.bin" ContentType="application/vnd.openxmlformats-officedocument.oleObject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embeddings/oleObject69.bin" ContentType="application/vnd.openxmlformats-officedocument.oleObject"/>
  <Override PartName="/xl/embeddings/oleObject98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4445" windowHeight="8250" activeTab="2"/>
  </bookViews>
  <sheets>
    <sheet name="Bernoulli agua @ 80ºC" sheetId="1" r:id="rId1"/>
    <sheet name="agua @ 25" sheetId="4" r:id="rId2"/>
    <sheet name="Hoja1" sheetId="6" r:id="rId3"/>
  </sheets>
  <calcPr calcId="125725"/>
</workbook>
</file>

<file path=xl/calcChain.xml><?xml version="1.0" encoding="utf-8"?>
<calcChain xmlns="http://schemas.openxmlformats.org/spreadsheetml/2006/main">
  <c r="G145" i="4"/>
  <c r="K14"/>
  <c r="B66" i="1" l="1"/>
  <c r="K61"/>
  <c r="J38"/>
  <c r="K41"/>
  <c r="K14"/>
  <c r="J11"/>
  <c r="B14"/>
  <c r="C11"/>
  <c r="K140" i="4"/>
  <c r="C140"/>
  <c r="K123"/>
  <c r="I120"/>
  <c r="K96"/>
  <c r="K69"/>
  <c r="I93"/>
  <c r="B93"/>
  <c r="M88"/>
  <c r="I88"/>
  <c r="I66"/>
  <c r="M61"/>
  <c r="I61"/>
  <c r="I39"/>
  <c r="K42" s="1"/>
  <c r="M34"/>
  <c r="I34"/>
  <c r="I41" i="1"/>
  <c r="F38"/>
  <c r="I33"/>
  <c r="I6"/>
  <c r="I115" i="4"/>
  <c r="M115"/>
  <c r="I6"/>
  <c r="M6"/>
  <c r="F14" i="1"/>
  <c r="F41"/>
  <c r="K6"/>
  <c r="F145" i="4"/>
  <c r="H140"/>
  <c r="K115"/>
  <c r="F136"/>
  <c r="F135"/>
  <c r="F134"/>
  <c r="H133"/>
  <c r="H131"/>
  <c r="F131"/>
  <c r="H130"/>
  <c r="H137" s="1"/>
  <c r="H123" s="1"/>
  <c r="F130"/>
  <c r="F129"/>
  <c r="F128"/>
  <c r="F127"/>
  <c r="F137" s="1"/>
  <c r="G123" s="1"/>
  <c r="P125"/>
  <c r="R125" s="1"/>
  <c r="T125" s="1"/>
  <c r="P124"/>
  <c r="Q124" s="1"/>
  <c r="P123"/>
  <c r="Q123" s="1"/>
  <c r="D123"/>
  <c r="P122"/>
  <c r="R122" s="1"/>
  <c r="T122" s="1"/>
  <c r="P121"/>
  <c r="R121" s="1"/>
  <c r="T121" s="1"/>
  <c r="P120"/>
  <c r="R120" s="1"/>
  <c r="T120" s="1"/>
  <c r="H120"/>
  <c r="P119"/>
  <c r="Q119" s="1"/>
  <c r="R118"/>
  <c r="T118" s="1"/>
  <c r="Q118"/>
  <c r="R117"/>
  <c r="T117" s="1"/>
  <c r="Q117"/>
  <c r="R116"/>
  <c r="T116" s="1"/>
  <c r="Q116"/>
  <c r="F123"/>
  <c r="G115"/>
  <c r="E115"/>
  <c r="F115" s="1"/>
  <c r="L115" s="1"/>
  <c r="A115"/>
  <c r="K61"/>
  <c r="F69"/>
  <c r="F55"/>
  <c r="F109"/>
  <c r="F108"/>
  <c r="F107"/>
  <c r="H106"/>
  <c r="H104"/>
  <c r="F104"/>
  <c r="H103"/>
  <c r="F103"/>
  <c r="F102"/>
  <c r="F101"/>
  <c r="F100"/>
  <c r="P98"/>
  <c r="R98" s="1"/>
  <c r="T98" s="1"/>
  <c r="P97"/>
  <c r="Q97" s="1"/>
  <c r="P96"/>
  <c r="Q96" s="1"/>
  <c r="D96"/>
  <c r="P95"/>
  <c r="R95" s="1"/>
  <c r="T95" s="1"/>
  <c r="P94"/>
  <c r="R94" s="1"/>
  <c r="T94" s="1"/>
  <c r="P93"/>
  <c r="R93" s="1"/>
  <c r="T93" s="1"/>
  <c r="H93"/>
  <c r="P92"/>
  <c r="Q92" s="1"/>
  <c r="R91"/>
  <c r="T91" s="1"/>
  <c r="Q91"/>
  <c r="R90"/>
  <c r="T90" s="1"/>
  <c r="Q90"/>
  <c r="R89"/>
  <c r="T89" s="1"/>
  <c r="Q89"/>
  <c r="F96"/>
  <c r="G88"/>
  <c r="E88"/>
  <c r="F88" s="1"/>
  <c r="L88" s="1"/>
  <c r="A88"/>
  <c r="A34"/>
  <c r="E34"/>
  <c r="F34" s="1"/>
  <c r="G34"/>
  <c r="Q35"/>
  <c r="R35"/>
  <c r="T35"/>
  <c r="Q36"/>
  <c r="R36"/>
  <c r="T36" s="1"/>
  <c r="Q37"/>
  <c r="R37"/>
  <c r="T37" s="1"/>
  <c r="P38"/>
  <c r="Q38" s="1"/>
  <c r="H39"/>
  <c r="P39"/>
  <c r="Q39" s="1"/>
  <c r="P40"/>
  <c r="Q40" s="1"/>
  <c r="P41"/>
  <c r="Q41" s="1"/>
  <c r="D42"/>
  <c r="P42"/>
  <c r="Q42" s="1"/>
  <c r="P43"/>
  <c r="Q43" s="1"/>
  <c r="P44"/>
  <c r="Q44" s="1"/>
  <c r="F46"/>
  <c r="F47"/>
  <c r="F48"/>
  <c r="H49"/>
  <c r="H50"/>
  <c r="H52"/>
  <c r="F53"/>
  <c r="F54"/>
  <c r="F82"/>
  <c r="F81"/>
  <c r="F80"/>
  <c r="H79"/>
  <c r="H77"/>
  <c r="F77"/>
  <c r="H76"/>
  <c r="F76"/>
  <c r="F75"/>
  <c r="F74"/>
  <c r="F73"/>
  <c r="P71"/>
  <c r="R71" s="1"/>
  <c r="T71" s="1"/>
  <c r="P70"/>
  <c r="R70" s="1"/>
  <c r="T70" s="1"/>
  <c r="P69"/>
  <c r="R69" s="1"/>
  <c r="T69" s="1"/>
  <c r="D69"/>
  <c r="P68"/>
  <c r="R68" s="1"/>
  <c r="T68" s="1"/>
  <c r="P67"/>
  <c r="R67" s="1"/>
  <c r="T67" s="1"/>
  <c r="P66"/>
  <c r="R66" s="1"/>
  <c r="T66" s="1"/>
  <c r="H66"/>
  <c r="P65"/>
  <c r="R65" s="1"/>
  <c r="T65" s="1"/>
  <c r="R64"/>
  <c r="T64" s="1"/>
  <c r="Q64"/>
  <c r="R63"/>
  <c r="T63" s="1"/>
  <c r="Q63"/>
  <c r="R62"/>
  <c r="T62" s="1"/>
  <c r="Q62"/>
  <c r="G61"/>
  <c r="E61"/>
  <c r="F61" s="1"/>
  <c r="A61"/>
  <c r="F27"/>
  <c r="F26"/>
  <c r="F25"/>
  <c r="H24"/>
  <c r="H22"/>
  <c r="H21"/>
  <c r="F20"/>
  <c r="F19"/>
  <c r="F18"/>
  <c r="P16"/>
  <c r="R16" s="1"/>
  <c r="T16" s="1"/>
  <c r="P15"/>
  <c r="R15" s="1"/>
  <c r="T15" s="1"/>
  <c r="P14"/>
  <c r="R14" s="1"/>
  <c r="T14" s="1"/>
  <c r="D14"/>
  <c r="P13"/>
  <c r="R13" s="1"/>
  <c r="T13" s="1"/>
  <c r="P12"/>
  <c r="R12" s="1"/>
  <c r="T12" s="1"/>
  <c r="P11"/>
  <c r="R11" s="1"/>
  <c r="T11" s="1"/>
  <c r="H11"/>
  <c r="P10"/>
  <c r="R10" s="1"/>
  <c r="T10" s="1"/>
  <c r="R9"/>
  <c r="T9" s="1"/>
  <c r="Q9"/>
  <c r="R8"/>
  <c r="T8" s="1"/>
  <c r="Q8"/>
  <c r="R7"/>
  <c r="T7" s="1"/>
  <c r="Q7"/>
  <c r="G6"/>
  <c r="E6"/>
  <c r="F6" s="1"/>
  <c r="L6" s="1"/>
  <c r="A6"/>
  <c r="F66" i="1"/>
  <c r="H61"/>
  <c r="H49"/>
  <c r="G48"/>
  <c r="H22"/>
  <c r="H21"/>
  <c r="F54"/>
  <c r="F53"/>
  <c r="F52"/>
  <c r="H51"/>
  <c r="H55" s="1"/>
  <c r="H41" s="1"/>
  <c r="F49"/>
  <c r="F48"/>
  <c r="F47"/>
  <c r="F46"/>
  <c r="F45"/>
  <c r="P43"/>
  <c r="O43"/>
  <c r="Q43" s="1"/>
  <c r="S43" s="1"/>
  <c r="O42"/>
  <c r="Q42" s="1"/>
  <c r="S42" s="1"/>
  <c r="O41"/>
  <c r="Q41" s="1"/>
  <c r="S41" s="1"/>
  <c r="D41"/>
  <c r="P40"/>
  <c r="O40"/>
  <c r="Q40" s="1"/>
  <c r="S40" s="1"/>
  <c r="P39"/>
  <c r="O39"/>
  <c r="Q39" s="1"/>
  <c r="S39" s="1"/>
  <c r="P38"/>
  <c r="O38"/>
  <c r="Q38" s="1"/>
  <c r="S38" s="1"/>
  <c r="H38"/>
  <c r="O37"/>
  <c r="Q37" s="1"/>
  <c r="S37" s="1"/>
  <c r="Q36"/>
  <c r="S36" s="1"/>
  <c r="P36"/>
  <c r="S35"/>
  <c r="Q35"/>
  <c r="P35"/>
  <c r="Q34"/>
  <c r="S34" s="1"/>
  <c r="P34"/>
  <c r="G33"/>
  <c r="E33"/>
  <c r="F33" s="1"/>
  <c r="H33" s="1"/>
  <c r="A33"/>
  <c r="D14"/>
  <c r="H11"/>
  <c r="G6"/>
  <c r="A6"/>
  <c r="E6"/>
  <c r="F6" s="1"/>
  <c r="L6" s="1"/>
  <c r="F27"/>
  <c r="F26"/>
  <c r="F25"/>
  <c r="H24"/>
  <c r="H28" s="1"/>
  <c r="H14" s="1"/>
  <c r="F20"/>
  <c r="F19"/>
  <c r="F18"/>
  <c r="Q8"/>
  <c r="S8" s="1"/>
  <c r="Q9"/>
  <c r="S9" s="1"/>
  <c r="Q7"/>
  <c r="S7" s="1"/>
  <c r="P8"/>
  <c r="P9"/>
  <c r="O16"/>
  <c r="Q16" s="1"/>
  <c r="S16" s="1"/>
  <c r="O15"/>
  <c r="Q15" s="1"/>
  <c r="S15" s="1"/>
  <c r="O14"/>
  <c r="Q14" s="1"/>
  <c r="S14" s="1"/>
  <c r="O13"/>
  <c r="Q13" s="1"/>
  <c r="S13" s="1"/>
  <c r="O12"/>
  <c r="Q12" s="1"/>
  <c r="S12" s="1"/>
  <c r="O11"/>
  <c r="Q11" s="1"/>
  <c r="S11" s="1"/>
  <c r="O10"/>
  <c r="Q10" s="1"/>
  <c r="S10" s="1"/>
  <c r="P7"/>
  <c r="H6" l="1"/>
  <c r="B38"/>
  <c r="H115" i="4"/>
  <c r="B41" i="1"/>
  <c r="Q93" i="4"/>
  <c r="Q94"/>
  <c r="Q95"/>
  <c r="R38"/>
  <c r="T38" s="1"/>
  <c r="R43"/>
  <c r="T43" s="1"/>
  <c r="R42"/>
  <c r="T42" s="1"/>
  <c r="R41"/>
  <c r="T41" s="1"/>
  <c r="R40"/>
  <c r="T40" s="1"/>
  <c r="R39"/>
  <c r="T39" s="1"/>
  <c r="F110"/>
  <c r="G96" s="1"/>
  <c r="H110"/>
  <c r="H96" s="1"/>
  <c r="Q125"/>
  <c r="Q120"/>
  <c r="Q121"/>
  <c r="Q122"/>
  <c r="R119"/>
  <c r="T119" s="1"/>
  <c r="R123"/>
  <c r="T123" s="1"/>
  <c r="R124"/>
  <c r="T124" s="1"/>
  <c r="Q10"/>
  <c r="H28"/>
  <c r="H14" s="1"/>
  <c r="Q71"/>
  <c r="R44"/>
  <c r="T44" s="1"/>
  <c r="Q98"/>
  <c r="L34"/>
  <c r="H34"/>
  <c r="J34" s="1"/>
  <c r="H88"/>
  <c r="R92"/>
  <c r="T92" s="1"/>
  <c r="R96"/>
  <c r="T96" s="1"/>
  <c r="R97"/>
  <c r="T97" s="1"/>
  <c r="F42"/>
  <c r="F56"/>
  <c r="G42" s="1"/>
  <c r="Q14"/>
  <c r="Q15"/>
  <c r="F28"/>
  <c r="G14" s="1"/>
  <c r="Q66"/>
  <c r="Q67"/>
  <c r="Q68"/>
  <c r="F83"/>
  <c r="G69" s="1"/>
  <c r="H83"/>
  <c r="H69" s="1"/>
  <c r="F14"/>
  <c r="H56"/>
  <c r="H42" s="1"/>
  <c r="Q11"/>
  <c r="Q12"/>
  <c r="Q13"/>
  <c r="Q16"/>
  <c r="L61"/>
  <c r="Q65"/>
  <c r="Q69"/>
  <c r="Q70"/>
  <c r="H61"/>
  <c r="F55" i="1"/>
  <c r="G41" s="1"/>
  <c r="L33"/>
  <c r="P37"/>
  <c r="P41"/>
  <c r="P42"/>
  <c r="P16"/>
  <c r="P14"/>
  <c r="P12"/>
  <c r="P10"/>
  <c r="F28"/>
  <c r="P15"/>
  <c r="P13"/>
  <c r="P11"/>
  <c r="J6" l="1"/>
  <c r="B61"/>
  <c r="I14"/>
  <c r="B123" i="4"/>
  <c r="I123" s="1"/>
  <c r="C120"/>
  <c r="J115"/>
  <c r="B39"/>
  <c r="B42" s="1"/>
  <c r="C39"/>
  <c r="H6"/>
  <c r="J6" s="1"/>
  <c r="B96"/>
  <c r="I96" s="1"/>
  <c r="F93" s="1"/>
  <c r="J88"/>
  <c r="I42"/>
  <c r="F39" s="1"/>
  <c r="C66"/>
  <c r="B66" s="1"/>
  <c r="J61"/>
  <c r="B69"/>
  <c r="J33" i="1"/>
  <c r="G14"/>
  <c r="B145" i="4" l="1"/>
  <c r="B11"/>
  <c r="F120"/>
  <c r="B120"/>
  <c r="K98"/>
  <c r="I69"/>
  <c r="B14"/>
  <c r="I14" s="1"/>
  <c r="F140" s="1"/>
  <c r="F11" i="1"/>
  <c r="C58"/>
  <c r="K125" i="4" l="1"/>
  <c r="D58" i="1"/>
  <c r="F61" s="1"/>
  <c r="K44" i="4"/>
  <c r="F11"/>
  <c r="F66"/>
  <c r="K43" i="1" l="1"/>
  <c r="K71" i="4"/>
  <c r="K11"/>
  <c r="L11"/>
  <c r="K16" i="1"/>
  <c r="L16" s="1"/>
  <c r="D66" s="1"/>
  <c r="G66" s="1"/>
  <c r="K16" i="4" l="1"/>
  <c r="L16" s="1"/>
  <c r="D145" l="1"/>
</calcChain>
</file>

<file path=xl/sharedStrings.xml><?xml version="1.0" encoding="utf-8"?>
<sst xmlns="http://schemas.openxmlformats.org/spreadsheetml/2006/main" count="474" uniqueCount="127">
  <si>
    <t>Masa (m) kg</t>
  </si>
  <si>
    <t>t(requerido) min</t>
  </si>
  <si>
    <t>Q(</t>
  </si>
  <si>
    <t>Cálculo previo</t>
  </si>
  <si>
    <t xml:space="preserve">           LONGITUD, DIAMETRO Y AREA DE LA TUBERÍA </t>
  </si>
  <si>
    <t>Dn(in)</t>
  </si>
  <si>
    <t>Di(m)</t>
  </si>
  <si>
    <t>e/d</t>
  </si>
  <si>
    <t>2"</t>
  </si>
  <si>
    <t>3"</t>
  </si>
  <si>
    <t>4"</t>
  </si>
  <si>
    <t>5"</t>
  </si>
  <si>
    <t>6"</t>
  </si>
  <si>
    <t>e (pie)</t>
  </si>
  <si>
    <t>Re</t>
  </si>
  <si>
    <t>v(m/s)</t>
  </si>
  <si>
    <t>Fd</t>
  </si>
  <si>
    <t>Bernoulli</t>
  </si>
  <si>
    <t>hl (m)</t>
  </si>
  <si>
    <t>g(m/s2)</t>
  </si>
  <si>
    <t>VALORES DE COEFIECIENTES DE PERDIDAS Y LONGITUD EQUIVALENTES 1"</t>
  </si>
  <si>
    <t>Accesorio</t>
  </si>
  <si>
    <t>Cantidad</t>
  </si>
  <si>
    <t>L/D</t>
  </si>
  <si>
    <t>K</t>
  </si>
  <si>
    <t>Codo 90º</t>
  </si>
  <si>
    <t>T(paso recto)</t>
  </si>
  <si>
    <t>T(usada L)</t>
  </si>
  <si>
    <t>medidor(agua)</t>
  </si>
  <si>
    <t>unión</t>
  </si>
  <si>
    <t>válvula (compuerta)</t>
  </si>
  <si>
    <t>válvula globo</t>
  </si>
  <si>
    <t>válvula bola</t>
  </si>
  <si>
    <t>V(m/s)</t>
  </si>
  <si>
    <t>Lt(m)</t>
  </si>
  <si>
    <t>Le/D</t>
  </si>
  <si>
    <t>hl(m)</t>
  </si>
  <si>
    <t>Hreq(m)</t>
  </si>
  <si>
    <t>hlt (m)</t>
  </si>
  <si>
    <t>hl1(m)</t>
  </si>
  <si>
    <t>hl2(m)</t>
  </si>
  <si>
    <t>Vs(m/s)</t>
  </si>
  <si>
    <t>Ps (kgf/m2)</t>
  </si>
  <si>
    <t>Pv(kgf/m2)</t>
  </si>
  <si>
    <t>NPSHd</t>
  </si>
  <si>
    <t>P (sig)</t>
  </si>
  <si>
    <t>P</t>
  </si>
  <si>
    <t>Pa(psi)</t>
  </si>
  <si>
    <t>Bernoulli 1</t>
  </si>
  <si>
    <t>,</t>
  </si>
  <si>
    <t>entrada</t>
  </si>
  <si>
    <t>salida</t>
  </si>
  <si>
    <t>total</t>
  </si>
  <si>
    <t>Q(gpm)</t>
  </si>
  <si>
    <t>At(m2)</t>
  </si>
  <si>
    <t>válvula 3 vía</t>
  </si>
  <si>
    <t>Q(m3/min)</t>
  </si>
  <si>
    <t>Bernoulli (F-E)</t>
  </si>
  <si>
    <t>Válvula 3 vía</t>
  </si>
  <si>
    <t>Bernoulli 3(F-D)</t>
  </si>
  <si>
    <t>Bernoulli 4(G-A)</t>
  </si>
  <si>
    <t>PF1</t>
  </si>
  <si>
    <t>PF2</t>
  </si>
  <si>
    <t>PG</t>
  </si>
  <si>
    <t>Bernoulli 1 (I-succión)</t>
  </si>
  <si>
    <r>
      <t>K</t>
    </r>
    <r>
      <rPr>
        <vertAlign val="subscript"/>
        <sz val="11"/>
        <color theme="1"/>
        <rFont val="Calibri"/>
        <family val="2"/>
        <scheme val="minor"/>
      </rPr>
      <t>subtotal</t>
    </r>
  </si>
  <si>
    <r>
      <t>L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/D</t>
    </r>
    <r>
      <rPr>
        <vertAlign val="subscript"/>
        <sz val="11"/>
        <color theme="1"/>
        <rFont val="Calibri"/>
        <family val="2"/>
        <scheme val="minor"/>
      </rPr>
      <t>subtotal</t>
    </r>
  </si>
  <si>
    <r>
      <t>L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/D</t>
    </r>
  </si>
  <si>
    <t>Ps(kgf/m2)</t>
  </si>
  <si>
    <t>Estabilizante</t>
  </si>
  <si>
    <t>agua 25ºC</t>
  </si>
  <si>
    <t>Agua 80 ºC</t>
  </si>
  <si>
    <t>Concentrado</t>
  </si>
  <si>
    <t>válvula 2 vía</t>
  </si>
  <si>
    <t>Válvula 2 vía</t>
  </si>
  <si>
    <t>PS (kgf/m2)</t>
  </si>
  <si>
    <t>PI(kgf/m2)</t>
  </si>
  <si>
    <t>PS(kgf/m2)</t>
  </si>
  <si>
    <t>ZI (m)</t>
  </si>
  <si>
    <t>ZS (m)</t>
  </si>
  <si>
    <t>VS (m/s)</t>
  </si>
  <si>
    <t>VI (m/s)</t>
  </si>
  <si>
    <t>VF (m/s)</t>
  </si>
  <si>
    <t>VE (m/s)</t>
  </si>
  <si>
    <t>ZF (m)</t>
  </si>
  <si>
    <t>ZE (m)</t>
  </si>
  <si>
    <t>PF(kgf/m2)</t>
  </si>
  <si>
    <t>PE(kgf/m2)</t>
  </si>
  <si>
    <t>VD (m/s)</t>
  </si>
  <si>
    <t>ZD (m)</t>
  </si>
  <si>
    <t>PD(kgf/m2)</t>
  </si>
  <si>
    <t>VG (m/s)</t>
  </si>
  <si>
    <t>VA (m/s)</t>
  </si>
  <si>
    <t>ZG (m)</t>
  </si>
  <si>
    <t>ZA (m)</t>
  </si>
  <si>
    <t>PG(kgf/m2)</t>
  </si>
  <si>
    <t>PA(kgf/m2)</t>
  </si>
  <si>
    <t>Bernoulli 5(descarga-A)</t>
  </si>
  <si>
    <t>Bernoulli 5(desde I-A)</t>
  </si>
  <si>
    <t>ZI(m)</t>
  </si>
  <si>
    <t>PA</t>
  </si>
  <si>
    <t>Bernoulli I-S</t>
  </si>
  <si>
    <t>Succión de la bomba</t>
  </si>
  <si>
    <t>Bernoulli D-A</t>
  </si>
  <si>
    <t>descarga de la bomba</t>
  </si>
  <si>
    <t>Bernoulli I-A</t>
  </si>
  <si>
    <t>Hrequerido</t>
  </si>
  <si>
    <t>Q</t>
  </si>
  <si>
    <t>Pérdidas en el tramo de succión(m)</t>
  </si>
  <si>
    <t>pérdidas en el tramo de descarga (m)</t>
  </si>
  <si>
    <t>Fluido</t>
  </si>
  <si>
    <r>
      <t>Q (m</t>
    </r>
    <r>
      <rPr>
        <vertAlign val="superscript"/>
        <sz val="12"/>
        <color rgb="FF000000"/>
        <rFont val="Arial"/>
        <family val="2"/>
      </rPr>
      <t>3</t>
    </r>
    <r>
      <rPr>
        <sz val="12"/>
        <color rgb="FF000000"/>
        <rFont val="Arial"/>
        <family val="2"/>
      </rPr>
      <t>/min)</t>
    </r>
  </si>
  <si>
    <r>
      <t>ρ (kg/m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</si>
  <si>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r>
      <t>Q 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/min)</t>
    </r>
  </si>
  <si>
    <t>Tramos</t>
  </si>
  <si>
    <t>F-E</t>
  </si>
  <si>
    <t>F-D</t>
  </si>
  <si>
    <t>G-A</t>
  </si>
  <si>
    <t>D-A</t>
  </si>
  <si>
    <r>
      <t>Pérdidas (h</t>
    </r>
    <r>
      <rPr>
        <vertAlign val="subscript"/>
        <sz val="12"/>
        <color rgb="FF000000"/>
        <rFont val="Arial"/>
        <family val="2"/>
      </rPr>
      <t>lta</t>
    </r>
    <r>
      <rPr>
        <sz val="12"/>
        <color rgb="FF000000"/>
        <rFont val="Arial"/>
        <family val="2"/>
      </rPr>
      <t>) (m)</t>
    </r>
  </si>
  <si>
    <t>Presión de succión (psia)</t>
  </si>
  <si>
    <t>Presión de en el punto de bifurcación (psia)</t>
  </si>
  <si>
    <t>Velocidad de flujo (m)</t>
  </si>
  <si>
    <t>Cabezal requerido (m)</t>
  </si>
  <si>
    <t>Cabezal de succión neto positivo (m)</t>
  </si>
  <si>
    <t>Presión de desacarga (psia)</t>
  </si>
  <si>
    <t>Potencia requerida (Hp)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</si>
</sst>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bscript"/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3CDDD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3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Border="1"/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0" fontId="0" fillId="6" borderId="5" xfId="0" applyFill="1" applyBorder="1" applyAlignment="1">
      <alignment horizontal="center"/>
    </xf>
    <xf numFmtId="0" fontId="0" fillId="6" borderId="5" xfId="0" applyFill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9" borderId="0" xfId="0" applyFill="1" applyBorder="1"/>
    <xf numFmtId="0" fontId="0" fillId="0" borderId="0" xfId="0" applyFill="1"/>
    <xf numFmtId="0" fontId="0" fillId="9" borderId="0" xfId="0" applyFill="1"/>
    <xf numFmtId="0" fontId="0" fillId="5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0" fontId="0" fillId="5" borderId="5" xfId="0" applyFill="1" applyBorder="1" applyAlignment="1"/>
    <xf numFmtId="0" fontId="0" fillId="0" borderId="0" xfId="0" applyAlignment="1"/>
    <xf numFmtId="0" fontId="0" fillId="0" borderId="5" xfId="0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/>
    <xf numFmtId="0" fontId="0" fillId="8" borderId="6" xfId="0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left"/>
    </xf>
    <xf numFmtId="11" fontId="0" fillId="8" borderId="5" xfId="0" applyNumberFormat="1" applyFill="1" applyBorder="1" applyAlignment="1">
      <alignment horizontal="center"/>
    </xf>
    <xf numFmtId="0" fontId="0" fillId="8" borderId="5" xfId="0" applyFill="1" applyBorder="1"/>
    <xf numFmtId="11" fontId="0" fillId="0" borderId="5" xfId="0" applyNumberFormat="1" applyFill="1" applyBorder="1" applyAlignment="1">
      <alignment horizontal="center"/>
    </xf>
    <xf numFmtId="0" fontId="0" fillId="8" borderId="5" xfId="0" applyFill="1" applyBorder="1" applyAlignment="1"/>
    <xf numFmtId="0" fontId="0" fillId="1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/>
    <xf numFmtId="0" fontId="0" fillId="7" borderId="6" xfId="0" applyFill="1" applyBorder="1" applyAlignment="1">
      <alignment horizontal="center"/>
    </xf>
    <xf numFmtId="0" fontId="0" fillId="5" borderId="6" xfId="0" applyFill="1" applyBorder="1" applyAlignment="1"/>
    <xf numFmtId="0" fontId="0" fillId="0" borderId="6" xfId="0" applyBorder="1" applyAlignment="1"/>
    <xf numFmtId="0" fontId="0" fillId="0" borderId="9" xfId="0" applyFill="1" applyBorder="1" applyAlignment="1"/>
    <xf numFmtId="0" fontId="3" fillId="11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5" fillId="5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5" borderId="5" xfId="0" applyFont="1" applyFill="1" applyBorder="1"/>
    <xf numFmtId="0" fontId="5" fillId="0" borderId="5" xfId="0" applyFont="1" applyBorder="1" applyAlignment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w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wmf"/><Relationship Id="rId6" Type="http://schemas.openxmlformats.org/officeDocument/2006/relationships/image" Target="../media/image7.wmf"/><Relationship Id="rId11" Type="http://schemas.openxmlformats.org/officeDocument/2006/relationships/image" Target="../media/image12.emf"/><Relationship Id="rId5" Type="http://schemas.openxmlformats.org/officeDocument/2006/relationships/image" Target="../media/image6.w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6.emf"/><Relationship Id="rId3" Type="http://schemas.openxmlformats.org/officeDocument/2006/relationships/image" Target="../media/image5.emf"/><Relationship Id="rId7" Type="http://schemas.openxmlformats.org/officeDocument/2006/relationships/image" Target="../media/image10.emf"/><Relationship Id="rId12" Type="http://schemas.openxmlformats.org/officeDocument/2006/relationships/image" Target="../media/image15.emf"/><Relationship Id="rId2" Type="http://schemas.openxmlformats.org/officeDocument/2006/relationships/image" Target="../media/image4.emf"/><Relationship Id="rId16" Type="http://schemas.openxmlformats.org/officeDocument/2006/relationships/image" Target="../media/image19.wmf"/><Relationship Id="rId1" Type="http://schemas.openxmlformats.org/officeDocument/2006/relationships/image" Target="../media/image2.wmf"/><Relationship Id="rId6" Type="http://schemas.openxmlformats.org/officeDocument/2006/relationships/image" Target="../media/image9.emf"/><Relationship Id="rId11" Type="http://schemas.openxmlformats.org/officeDocument/2006/relationships/image" Target="../media/image6.wmf"/><Relationship Id="rId5" Type="http://schemas.openxmlformats.org/officeDocument/2006/relationships/image" Target="../media/image8.wmf"/><Relationship Id="rId15" Type="http://schemas.openxmlformats.org/officeDocument/2006/relationships/image" Target="../media/image18.wmf"/><Relationship Id="rId10" Type="http://schemas.openxmlformats.org/officeDocument/2006/relationships/image" Target="../media/image14.emf"/><Relationship Id="rId4" Type="http://schemas.openxmlformats.org/officeDocument/2006/relationships/image" Target="../media/image7.wmf"/><Relationship Id="rId9" Type="http://schemas.openxmlformats.org/officeDocument/2006/relationships/image" Target="../media/image13.emf"/><Relationship Id="rId14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175260</xdr:colOff>
      <xdr:row>4</xdr:row>
      <xdr:rowOff>7620</xdr:rowOff>
    </xdr:from>
    <xdr:to>
      <xdr:col>4</xdr:col>
      <xdr:colOff>899160</xdr:colOff>
      <xdr:row>5</xdr:row>
      <xdr:rowOff>15240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87140" y="739140"/>
          <a:ext cx="723900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175260</xdr:colOff>
      <xdr:row>31</xdr:row>
      <xdr:rowOff>7620</xdr:rowOff>
    </xdr:from>
    <xdr:to>
      <xdr:col>4</xdr:col>
      <xdr:colOff>899160</xdr:colOff>
      <xdr:row>32</xdr:row>
      <xdr:rowOff>15240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92880" y="739140"/>
          <a:ext cx="723900" cy="190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175260</xdr:colOff>
      <xdr:row>4</xdr:row>
      <xdr:rowOff>7620</xdr:rowOff>
    </xdr:from>
    <xdr:to>
      <xdr:col>4</xdr:col>
      <xdr:colOff>899160</xdr:colOff>
      <xdr:row>5</xdr:row>
      <xdr:rowOff>15240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70960" y="739140"/>
          <a:ext cx="617220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175260</xdr:colOff>
      <xdr:row>59</xdr:row>
      <xdr:rowOff>7620</xdr:rowOff>
    </xdr:from>
    <xdr:to>
      <xdr:col>4</xdr:col>
      <xdr:colOff>899160</xdr:colOff>
      <xdr:row>60</xdr:row>
      <xdr:rowOff>15240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70960" y="5676900"/>
          <a:ext cx="617220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175260</xdr:colOff>
      <xdr:row>32</xdr:row>
      <xdr:rowOff>7620</xdr:rowOff>
    </xdr:from>
    <xdr:to>
      <xdr:col>4</xdr:col>
      <xdr:colOff>899160</xdr:colOff>
      <xdr:row>33</xdr:row>
      <xdr:rowOff>15240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95700" y="739140"/>
          <a:ext cx="617220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175260</xdr:colOff>
      <xdr:row>86</xdr:row>
      <xdr:rowOff>7620</xdr:rowOff>
    </xdr:from>
    <xdr:to>
      <xdr:col>4</xdr:col>
      <xdr:colOff>899160</xdr:colOff>
      <xdr:row>87</xdr:row>
      <xdr:rowOff>15240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95700" y="10797540"/>
          <a:ext cx="617220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175260</xdr:colOff>
      <xdr:row>113</xdr:row>
      <xdr:rowOff>7620</xdr:rowOff>
    </xdr:from>
    <xdr:to>
      <xdr:col>4</xdr:col>
      <xdr:colOff>899160</xdr:colOff>
      <xdr:row>114</xdr:row>
      <xdr:rowOff>15240</xdr:rowOff>
    </xdr:to>
    <xdr:pic>
      <xdr:nvPicPr>
        <xdr:cNvPr id="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95700" y="15735300"/>
          <a:ext cx="617220" cy="19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26" Type="http://schemas.openxmlformats.org/officeDocument/2006/relationships/oleObject" Target="../embeddings/oleObject23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5" Type="http://schemas.openxmlformats.org/officeDocument/2006/relationships/oleObject" Target="../embeddings/oleObject22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29" Type="http://schemas.openxmlformats.org/officeDocument/2006/relationships/oleObject" Target="../embeddings/oleObject26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24" Type="http://schemas.openxmlformats.org/officeDocument/2006/relationships/oleObject" Target="../embeddings/oleObject21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12.bin"/><Relationship Id="rId23" Type="http://schemas.openxmlformats.org/officeDocument/2006/relationships/oleObject" Target="../embeddings/oleObject20.bin"/><Relationship Id="rId28" Type="http://schemas.openxmlformats.org/officeDocument/2006/relationships/oleObject" Target="../embeddings/oleObject25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31" Type="http://schemas.openxmlformats.org/officeDocument/2006/relationships/oleObject" Target="../embeddings/oleObject2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Relationship Id="rId27" Type="http://schemas.openxmlformats.org/officeDocument/2006/relationships/oleObject" Target="../embeddings/oleObject24.bin"/><Relationship Id="rId30" Type="http://schemas.openxmlformats.org/officeDocument/2006/relationships/oleObject" Target="../embeddings/oleObject27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oleObject" Target="../embeddings/oleObject52.bin"/><Relationship Id="rId117" Type="http://schemas.openxmlformats.org/officeDocument/2006/relationships/oleObject" Target="../embeddings/oleObject143.bin"/><Relationship Id="rId21" Type="http://schemas.openxmlformats.org/officeDocument/2006/relationships/oleObject" Target="../embeddings/oleObject47.bin"/><Relationship Id="rId42" Type="http://schemas.openxmlformats.org/officeDocument/2006/relationships/oleObject" Target="../embeddings/oleObject68.bin"/><Relationship Id="rId47" Type="http://schemas.openxmlformats.org/officeDocument/2006/relationships/oleObject" Target="../embeddings/oleObject73.bin"/><Relationship Id="rId63" Type="http://schemas.openxmlformats.org/officeDocument/2006/relationships/oleObject" Target="../embeddings/oleObject89.bin"/><Relationship Id="rId68" Type="http://schemas.openxmlformats.org/officeDocument/2006/relationships/oleObject" Target="../embeddings/oleObject94.bin"/><Relationship Id="rId84" Type="http://schemas.openxmlformats.org/officeDocument/2006/relationships/oleObject" Target="../embeddings/oleObject110.bin"/><Relationship Id="rId89" Type="http://schemas.openxmlformats.org/officeDocument/2006/relationships/oleObject" Target="../embeddings/oleObject115.bin"/><Relationship Id="rId112" Type="http://schemas.openxmlformats.org/officeDocument/2006/relationships/oleObject" Target="../embeddings/oleObject138.bin"/><Relationship Id="rId16" Type="http://schemas.openxmlformats.org/officeDocument/2006/relationships/oleObject" Target="../embeddings/oleObject42.bin"/><Relationship Id="rId107" Type="http://schemas.openxmlformats.org/officeDocument/2006/relationships/oleObject" Target="../embeddings/oleObject133.bin"/><Relationship Id="rId11" Type="http://schemas.openxmlformats.org/officeDocument/2006/relationships/oleObject" Target="../embeddings/oleObject37.bin"/><Relationship Id="rId32" Type="http://schemas.openxmlformats.org/officeDocument/2006/relationships/oleObject" Target="../embeddings/oleObject58.bin"/><Relationship Id="rId37" Type="http://schemas.openxmlformats.org/officeDocument/2006/relationships/oleObject" Target="../embeddings/oleObject63.bin"/><Relationship Id="rId53" Type="http://schemas.openxmlformats.org/officeDocument/2006/relationships/oleObject" Target="../embeddings/oleObject79.bin"/><Relationship Id="rId58" Type="http://schemas.openxmlformats.org/officeDocument/2006/relationships/oleObject" Target="../embeddings/oleObject84.bin"/><Relationship Id="rId74" Type="http://schemas.openxmlformats.org/officeDocument/2006/relationships/oleObject" Target="../embeddings/oleObject100.bin"/><Relationship Id="rId79" Type="http://schemas.openxmlformats.org/officeDocument/2006/relationships/oleObject" Target="../embeddings/oleObject105.bin"/><Relationship Id="rId102" Type="http://schemas.openxmlformats.org/officeDocument/2006/relationships/oleObject" Target="../embeddings/oleObject128.bin"/><Relationship Id="rId123" Type="http://schemas.openxmlformats.org/officeDocument/2006/relationships/oleObject" Target="../embeddings/oleObject149.bin"/><Relationship Id="rId5" Type="http://schemas.openxmlformats.org/officeDocument/2006/relationships/oleObject" Target="../embeddings/oleObject31.bin"/><Relationship Id="rId61" Type="http://schemas.openxmlformats.org/officeDocument/2006/relationships/oleObject" Target="../embeddings/oleObject87.bin"/><Relationship Id="rId82" Type="http://schemas.openxmlformats.org/officeDocument/2006/relationships/oleObject" Target="../embeddings/oleObject108.bin"/><Relationship Id="rId90" Type="http://schemas.openxmlformats.org/officeDocument/2006/relationships/oleObject" Target="../embeddings/oleObject116.bin"/><Relationship Id="rId95" Type="http://schemas.openxmlformats.org/officeDocument/2006/relationships/oleObject" Target="../embeddings/oleObject121.bin"/><Relationship Id="rId19" Type="http://schemas.openxmlformats.org/officeDocument/2006/relationships/oleObject" Target="../embeddings/oleObject45.bin"/><Relationship Id="rId14" Type="http://schemas.openxmlformats.org/officeDocument/2006/relationships/oleObject" Target="../embeddings/oleObject40.bin"/><Relationship Id="rId22" Type="http://schemas.openxmlformats.org/officeDocument/2006/relationships/oleObject" Target="../embeddings/oleObject48.bin"/><Relationship Id="rId27" Type="http://schemas.openxmlformats.org/officeDocument/2006/relationships/oleObject" Target="../embeddings/oleObject53.bin"/><Relationship Id="rId30" Type="http://schemas.openxmlformats.org/officeDocument/2006/relationships/oleObject" Target="../embeddings/oleObject56.bin"/><Relationship Id="rId35" Type="http://schemas.openxmlformats.org/officeDocument/2006/relationships/oleObject" Target="../embeddings/oleObject61.bin"/><Relationship Id="rId43" Type="http://schemas.openxmlformats.org/officeDocument/2006/relationships/oleObject" Target="../embeddings/oleObject69.bin"/><Relationship Id="rId48" Type="http://schemas.openxmlformats.org/officeDocument/2006/relationships/oleObject" Target="../embeddings/oleObject74.bin"/><Relationship Id="rId56" Type="http://schemas.openxmlformats.org/officeDocument/2006/relationships/oleObject" Target="../embeddings/oleObject82.bin"/><Relationship Id="rId64" Type="http://schemas.openxmlformats.org/officeDocument/2006/relationships/oleObject" Target="../embeddings/oleObject90.bin"/><Relationship Id="rId69" Type="http://schemas.openxmlformats.org/officeDocument/2006/relationships/oleObject" Target="../embeddings/oleObject95.bin"/><Relationship Id="rId77" Type="http://schemas.openxmlformats.org/officeDocument/2006/relationships/oleObject" Target="../embeddings/oleObject103.bin"/><Relationship Id="rId100" Type="http://schemas.openxmlformats.org/officeDocument/2006/relationships/oleObject" Target="../embeddings/oleObject126.bin"/><Relationship Id="rId105" Type="http://schemas.openxmlformats.org/officeDocument/2006/relationships/oleObject" Target="../embeddings/oleObject131.bin"/><Relationship Id="rId113" Type="http://schemas.openxmlformats.org/officeDocument/2006/relationships/oleObject" Target="../embeddings/oleObject139.bin"/><Relationship Id="rId118" Type="http://schemas.openxmlformats.org/officeDocument/2006/relationships/oleObject" Target="../embeddings/oleObject144.bin"/><Relationship Id="rId8" Type="http://schemas.openxmlformats.org/officeDocument/2006/relationships/oleObject" Target="../embeddings/oleObject34.bin"/><Relationship Id="rId51" Type="http://schemas.openxmlformats.org/officeDocument/2006/relationships/oleObject" Target="../embeddings/oleObject77.bin"/><Relationship Id="rId72" Type="http://schemas.openxmlformats.org/officeDocument/2006/relationships/oleObject" Target="../embeddings/oleObject98.bin"/><Relationship Id="rId80" Type="http://schemas.openxmlformats.org/officeDocument/2006/relationships/oleObject" Target="../embeddings/oleObject106.bin"/><Relationship Id="rId85" Type="http://schemas.openxmlformats.org/officeDocument/2006/relationships/oleObject" Target="../embeddings/oleObject111.bin"/><Relationship Id="rId93" Type="http://schemas.openxmlformats.org/officeDocument/2006/relationships/oleObject" Target="../embeddings/oleObject119.bin"/><Relationship Id="rId98" Type="http://schemas.openxmlformats.org/officeDocument/2006/relationships/oleObject" Target="../embeddings/oleObject124.bin"/><Relationship Id="rId121" Type="http://schemas.openxmlformats.org/officeDocument/2006/relationships/oleObject" Target="../embeddings/oleObject147.bin"/><Relationship Id="rId3" Type="http://schemas.openxmlformats.org/officeDocument/2006/relationships/oleObject" Target="../embeddings/oleObject29.bin"/><Relationship Id="rId12" Type="http://schemas.openxmlformats.org/officeDocument/2006/relationships/oleObject" Target="../embeddings/oleObject38.bin"/><Relationship Id="rId17" Type="http://schemas.openxmlformats.org/officeDocument/2006/relationships/oleObject" Target="../embeddings/oleObject43.bin"/><Relationship Id="rId25" Type="http://schemas.openxmlformats.org/officeDocument/2006/relationships/oleObject" Target="../embeddings/oleObject51.bin"/><Relationship Id="rId33" Type="http://schemas.openxmlformats.org/officeDocument/2006/relationships/oleObject" Target="../embeddings/oleObject59.bin"/><Relationship Id="rId38" Type="http://schemas.openxmlformats.org/officeDocument/2006/relationships/oleObject" Target="../embeddings/oleObject64.bin"/><Relationship Id="rId46" Type="http://schemas.openxmlformats.org/officeDocument/2006/relationships/oleObject" Target="../embeddings/oleObject72.bin"/><Relationship Id="rId59" Type="http://schemas.openxmlformats.org/officeDocument/2006/relationships/oleObject" Target="../embeddings/oleObject85.bin"/><Relationship Id="rId67" Type="http://schemas.openxmlformats.org/officeDocument/2006/relationships/oleObject" Target="../embeddings/oleObject93.bin"/><Relationship Id="rId103" Type="http://schemas.openxmlformats.org/officeDocument/2006/relationships/oleObject" Target="../embeddings/oleObject129.bin"/><Relationship Id="rId108" Type="http://schemas.openxmlformats.org/officeDocument/2006/relationships/oleObject" Target="../embeddings/oleObject134.bin"/><Relationship Id="rId116" Type="http://schemas.openxmlformats.org/officeDocument/2006/relationships/oleObject" Target="../embeddings/oleObject142.bin"/><Relationship Id="rId124" Type="http://schemas.openxmlformats.org/officeDocument/2006/relationships/oleObject" Target="../embeddings/oleObject150.bin"/><Relationship Id="rId20" Type="http://schemas.openxmlformats.org/officeDocument/2006/relationships/oleObject" Target="../embeddings/oleObject46.bin"/><Relationship Id="rId41" Type="http://schemas.openxmlformats.org/officeDocument/2006/relationships/oleObject" Target="../embeddings/oleObject67.bin"/><Relationship Id="rId54" Type="http://schemas.openxmlformats.org/officeDocument/2006/relationships/oleObject" Target="../embeddings/oleObject80.bin"/><Relationship Id="rId62" Type="http://schemas.openxmlformats.org/officeDocument/2006/relationships/oleObject" Target="../embeddings/oleObject88.bin"/><Relationship Id="rId70" Type="http://schemas.openxmlformats.org/officeDocument/2006/relationships/oleObject" Target="../embeddings/oleObject96.bin"/><Relationship Id="rId75" Type="http://schemas.openxmlformats.org/officeDocument/2006/relationships/oleObject" Target="../embeddings/oleObject101.bin"/><Relationship Id="rId83" Type="http://schemas.openxmlformats.org/officeDocument/2006/relationships/oleObject" Target="../embeddings/oleObject109.bin"/><Relationship Id="rId88" Type="http://schemas.openxmlformats.org/officeDocument/2006/relationships/oleObject" Target="../embeddings/oleObject114.bin"/><Relationship Id="rId91" Type="http://schemas.openxmlformats.org/officeDocument/2006/relationships/oleObject" Target="../embeddings/oleObject117.bin"/><Relationship Id="rId96" Type="http://schemas.openxmlformats.org/officeDocument/2006/relationships/oleObject" Target="../embeddings/oleObject122.bin"/><Relationship Id="rId111" Type="http://schemas.openxmlformats.org/officeDocument/2006/relationships/oleObject" Target="../embeddings/oleObject137.bin"/><Relationship Id="rId1" Type="http://schemas.openxmlformats.org/officeDocument/2006/relationships/drawing" Target="../drawings/drawing2.xml"/><Relationship Id="rId6" Type="http://schemas.openxmlformats.org/officeDocument/2006/relationships/oleObject" Target="../embeddings/oleObject32.bin"/><Relationship Id="rId15" Type="http://schemas.openxmlformats.org/officeDocument/2006/relationships/oleObject" Target="../embeddings/oleObject41.bin"/><Relationship Id="rId23" Type="http://schemas.openxmlformats.org/officeDocument/2006/relationships/oleObject" Target="../embeddings/oleObject49.bin"/><Relationship Id="rId28" Type="http://schemas.openxmlformats.org/officeDocument/2006/relationships/oleObject" Target="../embeddings/oleObject54.bin"/><Relationship Id="rId36" Type="http://schemas.openxmlformats.org/officeDocument/2006/relationships/oleObject" Target="../embeddings/oleObject62.bin"/><Relationship Id="rId49" Type="http://schemas.openxmlformats.org/officeDocument/2006/relationships/oleObject" Target="../embeddings/oleObject75.bin"/><Relationship Id="rId57" Type="http://schemas.openxmlformats.org/officeDocument/2006/relationships/oleObject" Target="../embeddings/oleObject83.bin"/><Relationship Id="rId106" Type="http://schemas.openxmlformats.org/officeDocument/2006/relationships/oleObject" Target="../embeddings/oleObject132.bin"/><Relationship Id="rId114" Type="http://schemas.openxmlformats.org/officeDocument/2006/relationships/oleObject" Target="../embeddings/oleObject140.bin"/><Relationship Id="rId119" Type="http://schemas.openxmlformats.org/officeDocument/2006/relationships/oleObject" Target="../embeddings/oleObject145.bin"/><Relationship Id="rId10" Type="http://schemas.openxmlformats.org/officeDocument/2006/relationships/oleObject" Target="../embeddings/oleObject36.bin"/><Relationship Id="rId31" Type="http://schemas.openxmlformats.org/officeDocument/2006/relationships/oleObject" Target="../embeddings/oleObject57.bin"/><Relationship Id="rId44" Type="http://schemas.openxmlformats.org/officeDocument/2006/relationships/oleObject" Target="../embeddings/oleObject70.bin"/><Relationship Id="rId52" Type="http://schemas.openxmlformats.org/officeDocument/2006/relationships/oleObject" Target="../embeddings/oleObject78.bin"/><Relationship Id="rId60" Type="http://schemas.openxmlformats.org/officeDocument/2006/relationships/oleObject" Target="../embeddings/oleObject86.bin"/><Relationship Id="rId65" Type="http://schemas.openxmlformats.org/officeDocument/2006/relationships/oleObject" Target="../embeddings/oleObject91.bin"/><Relationship Id="rId73" Type="http://schemas.openxmlformats.org/officeDocument/2006/relationships/oleObject" Target="../embeddings/oleObject99.bin"/><Relationship Id="rId78" Type="http://schemas.openxmlformats.org/officeDocument/2006/relationships/oleObject" Target="../embeddings/oleObject104.bin"/><Relationship Id="rId81" Type="http://schemas.openxmlformats.org/officeDocument/2006/relationships/oleObject" Target="../embeddings/oleObject107.bin"/><Relationship Id="rId86" Type="http://schemas.openxmlformats.org/officeDocument/2006/relationships/oleObject" Target="../embeddings/oleObject112.bin"/><Relationship Id="rId94" Type="http://schemas.openxmlformats.org/officeDocument/2006/relationships/oleObject" Target="../embeddings/oleObject120.bin"/><Relationship Id="rId99" Type="http://schemas.openxmlformats.org/officeDocument/2006/relationships/oleObject" Target="../embeddings/oleObject125.bin"/><Relationship Id="rId101" Type="http://schemas.openxmlformats.org/officeDocument/2006/relationships/oleObject" Target="../embeddings/oleObject127.bin"/><Relationship Id="rId122" Type="http://schemas.openxmlformats.org/officeDocument/2006/relationships/oleObject" Target="../embeddings/oleObject148.bin"/><Relationship Id="rId4" Type="http://schemas.openxmlformats.org/officeDocument/2006/relationships/oleObject" Target="../embeddings/oleObject30.bin"/><Relationship Id="rId9" Type="http://schemas.openxmlformats.org/officeDocument/2006/relationships/oleObject" Target="../embeddings/oleObject35.bin"/><Relationship Id="rId13" Type="http://schemas.openxmlformats.org/officeDocument/2006/relationships/oleObject" Target="../embeddings/oleObject39.bin"/><Relationship Id="rId18" Type="http://schemas.openxmlformats.org/officeDocument/2006/relationships/oleObject" Target="../embeddings/oleObject44.bin"/><Relationship Id="rId39" Type="http://schemas.openxmlformats.org/officeDocument/2006/relationships/oleObject" Target="../embeddings/oleObject65.bin"/><Relationship Id="rId109" Type="http://schemas.openxmlformats.org/officeDocument/2006/relationships/oleObject" Target="../embeddings/oleObject135.bin"/><Relationship Id="rId34" Type="http://schemas.openxmlformats.org/officeDocument/2006/relationships/oleObject" Target="../embeddings/oleObject60.bin"/><Relationship Id="rId50" Type="http://schemas.openxmlformats.org/officeDocument/2006/relationships/oleObject" Target="../embeddings/oleObject76.bin"/><Relationship Id="rId55" Type="http://schemas.openxmlformats.org/officeDocument/2006/relationships/oleObject" Target="../embeddings/oleObject81.bin"/><Relationship Id="rId76" Type="http://schemas.openxmlformats.org/officeDocument/2006/relationships/oleObject" Target="../embeddings/oleObject102.bin"/><Relationship Id="rId97" Type="http://schemas.openxmlformats.org/officeDocument/2006/relationships/oleObject" Target="../embeddings/oleObject123.bin"/><Relationship Id="rId104" Type="http://schemas.openxmlformats.org/officeDocument/2006/relationships/oleObject" Target="../embeddings/oleObject130.bin"/><Relationship Id="rId120" Type="http://schemas.openxmlformats.org/officeDocument/2006/relationships/oleObject" Target="../embeddings/oleObject146.bin"/><Relationship Id="rId125" Type="http://schemas.openxmlformats.org/officeDocument/2006/relationships/oleObject" Target="../embeddings/oleObject151.bin"/><Relationship Id="rId7" Type="http://schemas.openxmlformats.org/officeDocument/2006/relationships/oleObject" Target="../embeddings/oleObject33.bin"/><Relationship Id="rId71" Type="http://schemas.openxmlformats.org/officeDocument/2006/relationships/oleObject" Target="../embeddings/oleObject97.bin"/><Relationship Id="rId92" Type="http://schemas.openxmlformats.org/officeDocument/2006/relationships/oleObject" Target="../embeddings/oleObject118.bin"/><Relationship Id="rId2" Type="http://schemas.openxmlformats.org/officeDocument/2006/relationships/vmlDrawing" Target="../drawings/vmlDrawing2.vml"/><Relationship Id="rId29" Type="http://schemas.openxmlformats.org/officeDocument/2006/relationships/oleObject" Target="../embeddings/oleObject55.bin"/><Relationship Id="rId24" Type="http://schemas.openxmlformats.org/officeDocument/2006/relationships/oleObject" Target="../embeddings/oleObject50.bin"/><Relationship Id="rId40" Type="http://schemas.openxmlformats.org/officeDocument/2006/relationships/oleObject" Target="../embeddings/oleObject66.bin"/><Relationship Id="rId45" Type="http://schemas.openxmlformats.org/officeDocument/2006/relationships/oleObject" Target="../embeddings/oleObject71.bin"/><Relationship Id="rId66" Type="http://schemas.openxmlformats.org/officeDocument/2006/relationships/oleObject" Target="../embeddings/oleObject92.bin"/><Relationship Id="rId87" Type="http://schemas.openxmlformats.org/officeDocument/2006/relationships/oleObject" Target="../embeddings/oleObject113.bin"/><Relationship Id="rId110" Type="http://schemas.openxmlformats.org/officeDocument/2006/relationships/oleObject" Target="../embeddings/oleObject136.bin"/><Relationship Id="rId115" Type="http://schemas.openxmlformats.org/officeDocument/2006/relationships/oleObject" Target="../embeddings/oleObject14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6"/>
  <sheetViews>
    <sheetView topLeftCell="C46" zoomScaleNormal="100" workbookViewId="0">
      <selection activeCell="F37" sqref="F37:F38"/>
    </sheetView>
  </sheetViews>
  <sheetFormatPr baseColWidth="10" defaultRowHeight="15"/>
  <cols>
    <col min="1" max="1" width="14.85546875" customWidth="1"/>
    <col min="2" max="2" width="12.7109375" customWidth="1"/>
    <col min="3" max="3" width="20.5703125" customWidth="1"/>
    <col min="4" max="4" width="16.5703125" customWidth="1"/>
    <col min="5" max="5" width="13.5703125" customWidth="1"/>
    <col min="6" max="6" width="21" customWidth="1"/>
    <col min="12" max="12" width="21.28515625" customWidth="1"/>
  </cols>
  <sheetData>
    <row r="1" spans="1:19">
      <c r="B1" t="s">
        <v>3</v>
      </c>
    </row>
    <row r="2" spans="1:19" s="14" customFormat="1">
      <c r="A2" s="14" t="s">
        <v>101</v>
      </c>
      <c r="B2" s="14" t="s">
        <v>102</v>
      </c>
    </row>
    <row r="3" spans="1:19">
      <c r="F3" s="6"/>
      <c r="G3" s="6">
        <v>0.38</v>
      </c>
    </row>
    <row r="5" spans="1:19" s="9" customFormat="1">
      <c r="A5" s="5"/>
      <c r="B5" s="5" t="s">
        <v>0</v>
      </c>
      <c r="C5" s="5"/>
      <c r="D5" s="5" t="s">
        <v>1</v>
      </c>
      <c r="E5" s="5"/>
      <c r="F5" s="37" t="s">
        <v>107</v>
      </c>
      <c r="G5" s="5"/>
      <c r="H5" s="5" t="s">
        <v>15</v>
      </c>
      <c r="I5" s="5" t="s">
        <v>6</v>
      </c>
      <c r="J5" s="5" t="s">
        <v>14</v>
      </c>
      <c r="K5" s="5" t="s">
        <v>16</v>
      </c>
      <c r="L5" s="37" t="s">
        <v>107</v>
      </c>
      <c r="N5" s="71" t="s">
        <v>4</v>
      </c>
      <c r="O5" s="72"/>
      <c r="P5" s="72"/>
      <c r="Q5" s="72"/>
      <c r="R5" s="72"/>
      <c r="S5" s="73"/>
    </row>
    <row r="6" spans="1:19" s="9" customFormat="1">
      <c r="A6" s="10">
        <f>C6*0.0624279605761</f>
        <v>60.669364926671264</v>
      </c>
      <c r="B6" s="10">
        <v>200</v>
      </c>
      <c r="C6" s="10">
        <v>971.83</v>
      </c>
      <c r="D6" s="10">
        <v>1</v>
      </c>
      <c r="E6" s="10">
        <f>B6/D6</f>
        <v>200</v>
      </c>
      <c r="F6" s="10">
        <f>E6/C6</f>
        <v>0.20579731022915529</v>
      </c>
      <c r="G6" s="10">
        <f>0.001*G3</f>
        <v>3.8000000000000002E-4</v>
      </c>
      <c r="H6" s="10">
        <f>F6/(60*P10)</f>
        <v>1.5844565073967452</v>
      </c>
      <c r="I6" s="10">
        <f>O10</f>
        <v>5.2499999999999998E-2</v>
      </c>
      <c r="J6" s="10">
        <f>(I6*H6*C6)/G6</f>
        <v>212738.61657401946</v>
      </c>
      <c r="K6" s="23">
        <f>0.02047</f>
        <v>2.0469999999999999E-2</v>
      </c>
      <c r="L6" s="10">
        <f>F6*264.172052358</f>
        <v>54.365897812991975</v>
      </c>
      <c r="N6" s="3" t="s">
        <v>5</v>
      </c>
      <c r="O6" s="1" t="s">
        <v>6</v>
      </c>
      <c r="P6" s="1"/>
      <c r="Q6" s="1"/>
      <c r="R6" s="1" t="s">
        <v>13</v>
      </c>
      <c r="S6" s="1" t="s">
        <v>7</v>
      </c>
    </row>
    <row r="7" spans="1:19" s="9" customFormat="1">
      <c r="N7" s="7">
        <v>1</v>
      </c>
      <c r="O7" s="7">
        <v>2.6599999999999999E-2</v>
      </c>
      <c r="P7" s="7">
        <f>(POWER(O7,2)*3.14159/4)</f>
        <v>5.5571585509999995E-4</v>
      </c>
      <c r="Q7" s="7">
        <f>3.28083989501*O7</f>
        <v>8.7270341207265997E-2</v>
      </c>
      <c r="R7" s="7">
        <v>1.4999999999999999E-4</v>
      </c>
      <c r="S7" s="7">
        <f>R7/Q7</f>
        <v>1.7187969924828393E-3</v>
      </c>
    </row>
    <row r="8" spans="1:19" s="9" customFormat="1">
      <c r="B8" s="9" t="s">
        <v>48</v>
      </c>
      <c r="N8" s="7"/>
      <c r="O8" s="7">
        <v>3.5099999999999999E-2</v>
      </c>
      <c r="P8" s="7">
        <f t="shared" ref="P8:P16" si="0">(POWER(O8,2)*3.14159/4)</f>
        <v>9.6761757397499995E-4</v>
      </c>
      <c r="Q8" s="7">
        <f t="shared" ref="Q8:Q16" si="1">3.28083989501*O8</f>
        <v>0.115157480314851</v>
      </c>
      <c r="R8" s="7">
        <v>1.4999999999999999E-4</v>
      </c>
      <c r="S8" s="7">
        <f t="shared" ref="S8:S16" si="2">R8/Q8</f>
        <v>1.3025641025653425E-3</v>
      </c>
    </row>
    <row r="9" spans="1:19" s="9" customFormat="1">
      <c r="N9" s="7"/>
      <c r="O9" s="7">
        <v>4.0899999999999999E-2</v>
      </c>
      <c r="P9" s="7">
        <f t="shared" si="0"/>
        <v>1.3138207919749997E-3</v>
      </c>
      <c r="Q9" s="7">
        <f t="shared" si="1"/>
        <v>0.13418635170590901</v>
      </c>
      <c r="R9" s="7">
        <v>1.4999999999999999E-4</v>
      </c>
      <c r="S9" s="7">
        <f t="shared" si="2"/>
        <v>1.1178484107590102E-3</v>
      </c>
    </row>
    <row r="10" spans="1:19" s="9" customFormat="1">
      <c r="B10" s="5" t="s">
        <v>81</v>
      </c>
      <c r="C10" s="5" t="s">
        <v>80</v>
      </c>
      <c r="D10" s="5" t="s">
        <v>78</v>
      </c>
      <c r="E10" s="5" t="s">
        <v>79</v>
      </c>
      <c r="F10" s="5" t="s">
        <v>18</v>
      </c>
      <c r="G10" s="5" t="s">
        <v>19</v>
      </c>
      <c r="H10" s="5"/>
      <c r="I10" s="5" t="s">
        <v>76</v>
      </c>
      <c r="J10" s="46" t="s">
        <v>77</v>
      </c>
      <c r="K10" s="48"/>
      <c r="L10" s="30"/>
      <c r="N10" s="7" t="s">
        <v>8</v>
      </c>
      <c r="O10" s="7">
        <f>5.25/100</f>
        <v>5.2499999999999998E-2</v>
      </c>
      <c r="P10" s="7">
        <f t="shared" si="0"/>
        <v>2.1647518593749995E-3</v>
      </c>
      <c r="Q10" s="7">
        <f t="shared" si="1"/>
        <v>0.172244094488025</v>
      </c>
      <c r="R10" s="7">
        <v>1.4999999999999999E-4</v>
      </c>
      <c r="S10" s="7">
        <f t="shared" si="2"/>
        <v>8.7085714285797182E-4</v>
      </c>
    </row>
    <row r="11" spans="1:19" s="9" customFormat="1">
      <c r="B11" s="10">
        <v>0</v>
      </c>
      <c r="C11" s="10">
        <f>H6</f>
        <v>1.5844565073967452</v>
      </c>
      <c r="D11" s="10">
        <v>0.9</v>
      </c>
      <c r="E11" s="10">
        <v>1.8</v>
      </c>
      <c r="F11" s="10">
        <f>I14</f>
        <v>0.23262775352041556</v>
      </c>
      <c r="G11" s="10">
        <v>9.8000000000000007</v>
      </c>
      <c r="H11" s="10">
        <f>C6</f>
        <v>971.83</v>
      </c>
      <c r="I11" s="10">
        <v>0</v>
      </c>
      <c r="J11" s="47">
        <f>(((POWER(B11,2)-POWER(C11,2))/(2*G11))+(I11/H11)+(D11-E11)+F11)*H11</f>
        <v>-773.05102185505791</v>
      </c>
      <c r="K11" s="48"/>
      <c r="L11" s="30"/>
      <c r="N11" s="7"/>
      <c r="O11" s="7">
        <f>6.271/100</f>
        <v>6.2710000000000002E-2</v>
      </c>
      <c r="P11" s="7">
        <f t="shared" si="0"/>
        <v>3.0886103047797499E-3</v>
      </c>
      <c r="Q11" s="7">
        <f t="shared" si="1"/>
        <v>0.2057414698160771</v>
      </c>
      <c r="R11" s="7">
        <v>1.4999999999999999E-4</v>
      </c>
      <c r="S11" s="7">
        <f t="shared" si="2"/>
        <v>7.2907032371302054E-4</v>
      </c>
    </row>
    <row r="12" spans="1:19" s="9" customFormat="1">
      <c r="N12" s="7" t="s">
        <v>9</v>
      </c>
      <c r="O12" s="7">
        <f>7.793/100</f>
        <v>7.7929999999999999E-2</v>
      </c>
      <c r="P12" s="7">
        <f t="shared" si="0"/>
        <v>4.7697856977477497E-3</v>
      </c>
      <c r="Q12" s="7">
        <f t="shared" si="1"/>
        <v>0.25567585301812928</v>
      </c>
      <c r="R12" s="7">
        <v>1.4999999999999999E-4</v>
      </c>
      <c r="S12" s="7">
        <f t="shared" si="2"/>
        <v>5.8668035416455187E-4</v>
      </c>
    </row>
    <row r="13" spans="1:19" s="9" customFormat="1">
      <c r="B13" s="5" t="s">
        <v>33</v>
      </c>
      <c r="C13" s="5" t="s">
        <v>19</v>
      </c>
      <c r="D13" s="5" t="s">
        <v>16</v>
      </c>
      <c r="E13" s="5" t="s">
        <v>34</v>
      </c>
      <c r="F13" s="5" t="s">
        <v>6</v>
      </c>
      <c r="G13" s="5" t="s">
        <v>35</v>
      </c>
      <c r="H13" s="5" t="s">
        <v>24</v>
      </c>
      <c r="I13" s="5" t="s">
        <v>36</v>
      </c>
      <c r="K13" s="5" t="s">
        <v>45</v>
      </c>
      <c r="L13" s="5" t="s">
        <v>47</v>
      </c>
      <c r="N13" s="7"/>
      <c r="O13" s="7">
        <f>9.012/100</f>
        <v>9.0120000000000006E-2</v>
      </c>
      <c r="P13" s="7">
        <f t="shared" si="0"/>
        <v>6.3786956457240005E-3</v>
      </c>
      <c r="Q13" s="7">
        <f t="shared" si="1"/>
        <v>0.29566929133830122</v>
      </c>
      <c r="R13" s="7">
        <v>1.4999999999999999E-4</v>
      </c>
      <c r="S13" s="7">
        <f t="shared" si="2"/>
        <v>5.0732356857571587E-4</v>
      </c>
    </row>
    <row r="14" spans="1:19" s="9" customFormat="1">
      <c r="B14" s="10">
        <f>C11</f>
        <v>1.5844565073967452</v>
      </c>
      <c r="C14" s="10">
        <v>9.8000000000000007</v>
      </c>
      <c r="D14" s="23">
        <f>K6</f>
        <v>2.0469999999999999E-2</v>
      </c>
      <c r="E14" s="10">
        <v>0.4</v>
      </c>
      <c r="F14" s="10">
        <f>I6</f>
        <v>5.2499999999999998E-2</v>
      </c>
      <c r="G14" s="10">
        <f>F28</f>
        <v>43</v>
      </c>
      <c r="H14" s="10">
        <f>H28</f>
        <v>0.78</v>
      </c>
      <c r="I14" s="10">
        <f>((POWER(B14,2))/(2*C14))*((D14*((E14/F14)+F28)+H28))</f>
        <v>0.23262775352041556</v>
      </c>
      <c r="K14" s="10">
        <f>14.6951*J11/10331.9272</f>
        <v>-1.0995104641525408</v>
      </c>
      <c r="L14" s="10">
        <v>14.696099999999999</v>
      </c>
      <c r="N14" s="7" t="s">
        <v>10</v>
      </c>
      <c r="O14" s="7">
        <f>10.226/100</f>
        <v>0.10226</v>
      </c>
      <c r="P14" s="7">
        <f t="shared" si="0"/>
        <v>8.2129861662710007E-3</v>
      </c>
      <c r="Q14" s="7">
        <f t="shared" si="1"/>
        <v>0.33549868766372265</v>
      </c>
      <c r="R14" s="7">
        <v>1.4999999999999999E-4</v>
      </c>
      <c r="S14" s="7">
        <f t="shared" si="2"/>
        <v>4.470956385687807E-4</v>
      </c>
    </row>
    <row r="15" spans="1:19">
      <c r="K15" s="6" t="s">
        <v>46</v>
      </c>
      <c r="N15" s="7" t="s">
        <v>11</v>
      </c>
      <c r="O15" s="8">
        <f>12.819/100</f>
        <v>0.12819</v>
      </c>
      <c r="P15" s="8">
        <f t="shared" si="0"/>
        <v>1.2906182727249749E-2</v>
      </c>
      <c r="Q15" s="7">
        <f t="shared" si="1"/>
        <v>0.42057086614133193</v>
      </c>
      <c r="R15" s="7">
        <v>1.4999999999999999E-4</v>
      </c>
      <c r="S15" s="8">
        <f t="shared" si="2"/>
        <v>3.5665808565444668E-4</v>
      </c>
    </row>
    <row r="16" spans="1:19">
      <c r="C16" s="19" t="s">
        <v>20</v>
      </c>
      <c r="D16" s="20"/>
      <c r="E16" s="20"/>
      <c r="F16" s="20"/>
      <c r="G16" s="20"/>
      <c r="H16" s="21"/>
      <c r="K16" s="4">
        <f>L14+K14</f>
        <v>13.596589535847459</v>
      </c>
      <c r="L16">
        <f>K16*(10331.9272/14.6951)</f>
        <v>9559.5792646976024</v>
      </c>
      <c r="N16" s="7" t="s">
        <v>12</v>
      </c>
      <c r="O16" s="8">
        <f>15.405/100</f>
        <v>0.15404999999999999</v>
      </c>
      <c r="P16" s="8">
        <f t="shared" si="0"/>
        <v>1.8638584194993747E-2</v>
      </c>
      <c r="Q16" s="7">
        <f t="shared" si="1"/>
        <v>0.50541338582629047</v>
      </c>
      <c r="R16" s="7">
        <v>1.4999999999999999E-4</v>
      </c>
      <c r="S16" s="8">
        <f t="shared" si="2"/>
        <v>2.9678675754653375E-4</v>
      </c>
    </row>
    <row r="17" spans="1:19" ht="18">
      <c r="C17" s="1" t="s">
        <v>21</v>
      </c>
      <c r="D17" s="1" t="s">
        <v>22</v>
      </c>
      <c r="E17" s="1" t="s">
        <v>67</v>
      </c>
      <c r="F17" s="1" t="s">
        <v>66</v>
      </c>
      <c r="G17" s="1" t="s">
        <v>24</v>
      </c>
      <c r="H17" s="1" t="s">
        <v>65</v>
      </c>
      <c r="I17" s="9"/>
      <c r="J17" s="9"/>
    </row>
    <row r="18" spans="1:19">
      <c r="C18" s="25" t="s">
        <v>25</v>
      </c>
      <c r="D18" s="2">
        <v>1</v>
      </c>
      <c r="E18" s="2">
        <v>30</v>
      </c>
      <c r="F18" s="2">
        <f>(D18*E18)</f>
        <v>30</v>
      </c>
      <c r="G18" s="2"/>
      <c r="H18" s="2"/>
    </row>
    <row r="19" spans="1:19">
      <c r="C19" s="25" t="s">
        <v>26</v>
      </c>
      <c r="D19" s="2">
        <v>0</v>
      </c>
      <c r="E19" s="2">
        <v>20</v>
      </c>
      <c r="F19" s="2">
        <f>(D19*E19)</f>
        <v>0</v>
      </c>
      <c r="G19" s="2"/>
      <c r="H19" s="2"/>
      <c r="O19" s="30"/>
      <c r="P19" s="30"/>
      <c r="Q19" s="30"/>
      <c r="R19" s="30"/>
    </row>
    <row r="20" spans="1:19">
      <c r="C20" s="25" t="s">
        <v>27</v>
      </c>
      <c r="D20" s="2">
        <v>0</v>
      </c>
      <c r="E20" s="2">
        <v>60</v>
      </c>
      <c r="F20" s="2">
        <f>(D20*E20)</f>
        <v>0</v>
      </c>
      <c r="G20" s="2"/>
      <c r="H20" s="2"/>
      <c r="O20" s="30"/>
      <c r="P20" s="30"/>
      <c r="Q20" s="30"/>
      <c r="R20" s="30"/>
    </row>
    <row r="21" spans="1:19">
      <c r="C21" s="25" t="s">
        <v>50</v>
      </c>
      <c r="D21" s="2">
        <v>1</v>
      </c>
      <c r="E21" s="2"/>
      <c r="F21" s="2"/>
      <c r="G21" s="2">
        <v>0.78</v>
      </c>
      <c r="H21" s="2">
        <f>D21*G21</f>
        <v>0.78</v>
      </c>
      <c r="P21" t="s">
        <v>49</v>
      </c>
    </row>
    <row r="22" spans="1:19">
      <c r="C22" s="25" t="s">
        <v>51</v>
      </c>
      <c r="D22" s="2">
        <v>0</v>
      </c>
      <c r="E22" s="2"/>
      <c r="F22" s="2"/>
      <c r="G22" s="2">
        <v>1</v>
      </c>
      <c r="H22" s="2">
        <f>G22*D22</f>
        <v>0</v>
      </c>
    </row>
    <row r="23" spans="1:19">
      <c r="C23" s="25" t="s">
        <v>28</v>
      </c>
      <c r="D23" s="2">
        <v>0</v>
      </c>
      <c r="E23" s="2"/>
      <c r="F23" s="2"/>
      <c r="G23" s="2"/>
      <c r="H23" s="2"/>
    </row>
    <row r="24" spans="1:19">
      <c r="C24" s="25" t="s">
        <v>29</v>
      </c>
      <c r="D24" s="2">
        <v>0</v>
      </c>
      <c r="E24" s="2"/>
      <c r="F24" s="2"/>
      <c r="G24" s="2">
        <v>0.04</v>
      </c>
      <c r="H24" s="2">
        <f>(D24*G24)</f>
        <v>0</v>
      </c>
    </row>
    <row r="25" spans="1:19">
      <c r="C25" s="25" t="s">
        <v>30</v>
      </c>
      <c r="D25" s="2">
        <v>1</v>
      </c>
      <c r="E25" s="2">
        <v>13</v>
      </c>
      <c r="F25" s="2">
        <f>(D25*E25)</f>
        <v>13</v>
      </c>
      <c r="G25" s="2"/>
      <c r="H25" s="2"/>
    </row>
    <row r="26" spans="1:19">
      <c r="C26" s="25" t="s">
        <v>31</v>
      </c>
      <c r="D26" s="2">
        <v>0</v>
      </c>
      <c r="E26" s="2">
        <v>450</v>
      </c>
      <c r="F26" s="2">
        <f>(D26*E26)</f>
        <v>0</v>
      </c>
      <c r="G26" s="2"/>
      <c r="H26" s="2"/>
    </row>
    <row r="27" spans="1:19">
      <c r="C27" s="25" t="s">
        <v>32</v>
      </c>
      <c r="D27" s="2">
        <v>0</v>
      </c>
      <c r="E27" s="2">
        <v>13</v>
      </c>
      <c r="F27" s="2">
        <f>(D27*E27)</f>
        <v>0</v>
      </c>
      <c r="G27" s="2"/>
      <c r="H27" s="2"/>
    </row>
    <row r="28" spans="1:19">
      <c r="C28" s="25" t="s">
        <v>52</v>
      </c>
      <c r="D28" s="2"/>
      <c r="E28" s="2"/>
      <c r="F28" s="2">
        <f>SUM(F18:F27)</f>
        <v>43</v>
      </c>
      <c r="G28" s="2"/>
      <c r="H28" s="2">
        <f>SUM(H18:H27)</f>
        <v>0.78</v>
      </c>
    </row>
    <row r="29" spans="1:19" s="14" customFormat="1">
      <c r="A29" s="14" t="s">
        <v>103</v>
      </c>
      <c r="B29" s="14" t="s">
        <v>104</v>
      </c>
      <c r="C29" s="12"/>
      <c r="D29" s="12"/>
      <c r="E29" s="12"/>
      <c r="F29" s="12"/>
      <c r="G29" s="12"/>
      <c r="H29" s="12"/>
    </row>
    <row r="30" spans="1:19">
      <c r="C30" s="13"/>
      <c r="D30" s="13"/>
      <c r="E30" s="13"/>
      <c r="F30" s="6"/>
      <c r="G30" s="6">
        <v>0.38</v>
      </c>
    </row>
    <row r="32" spans="1:19" s="9" customFormat="1">
      <c r="A32" s="5"/>
      <c r="B32" s="5" t="s">
        <v>0</v>
      </c>
      <c r="C32" s="5"/>
      <c r="D32" s="5" t="s">
        <v>1</v>
      </c>
      <c r="E32" s="5"/>
      <c r="F32" s="5" t="s">
        <v>2</v>
      </c>
      <c r="G32" s="5"/>
      <c r="H32" s="5" t="s">
        <v>15</v>
      </c>
      <c r="I32" s="5" t="s">
        <v>6</v>
      </c>
      <c r="J32" s="5" t="s">
        <v>14</v>
      </c>
      <c r="K32" s="5" t="s">
        <v>16</v>
      </c>
      <c r="L32" s="5" t="s">
        <v>2</v>
      </c>
      <c r="N32" s="22" t="s">
        <v>4</v>
      </c>
      <c r="O32" s="22"/>
      <c r="P32" s="22"/>
      <c r="Q32" s="16"/>
      <c r="R32" s="17"/>
      <c r="S32" s="18"/>
    </row>
    <row r="33" spans="1:19" s="9" customFormat="1">
      <c r="A33" s="10">
        <f>C33*0.0624279605761</f>
        <v>60.669364926671264</v>
      </c>
      <c r="B33" s="10">
        <v>200</v>
      </c>
      <c r="C33" s="10">
        <v>971.83</v>
      </c>
      <c r="D33" s="10">
        <v>1</v>
      </c>
      <c r="E33" s="10">
        <f>B33/D33</f>
        <v>200</v>
      </c>
      <c r="F33" s="10">
        <f>E33/C33</f>
        <v>0.20579731022915529</v>
      </c>
      <c r="G33" s="10">
        <f>0.001*G30</f>
        <v>3.8000000000000002E-4</v>
      </c>
      <c r="H33" s="10">
        <f>F33/(60*P37)</f>
        <v>1.5844565073967452</v>
      </c>
      <c r="I33" s="10">
        <f>O37</f>
        <v>5.2499999999999998E-2</v>
      </c>
      <c r="J33" s="10">
        <f>(I33*H33*C33)/G33</f>
        <v>212738.61657401946</v>
      </c>
      <c r="K33" s="23">
        <v>2.1100000000000001E-2</v>
      </c>
      <c r="L33" s="10">
        <f>F33*264.172052358</f>
        <v>54.365897812991975</v>
      </c>
      <c r="N33" s="3" t="s">
        <v>5</v>
      </c>
      <c r="O33" s="1" t="s">
        <v>6</v>
      </c>
      <c r="P33" s="1"/>
      <c r="Q33" s="1"/>
      <c r="R33" s="1" t="s">
        <v>13</v>
      </c>
      <c r="S33" s="1" t="s">
        <v>7</v>
      </c>
    </row>
    <row r="34" spans="1:19" s="9" customFormat="1">
      <c r="N34" s="7">
        <v>1</v>
      </c>
      <c r="O34" s="7">
        <v>2.6599999999999999E-2</v>
      </c>
      <c r="P34" s="7">
        <f>(POWER(O34,2)*3.14159/4)</f>
        <v>5.5571585509999995E-4</v>
      </c>
      <c r="Q34" s="7">
        <f>3.28083989501*O34</f>
        <v>8.7270341207265997E-2</v>
      </c>
      <c r="R34" s="7">
        <v>1.4999999999999999E-4</v>
      </c>
      <c r="S34" s="7">
        <f>R34/Q34</f>
        <v>1.7187969924828393E-3</v>
      </c>
    </row>
    <row r="35" spans="1:19" s="9" customFormat="1">
      <c r="B35" s="9" t="s">
        <v>17</v>
      </c>
      <c r="N35" s="7"/>
      <c r="O35" s="7">
        <v>3.5099999999999999E-2</v>
      </c>
      <c r="P35" s="7">
        <f t="shared" ref="P35:P43" si="3">(POWER(O35,2)*3.14159/4)</f>
        <v>9.6761757397499995E-4</v>
      </c>
      <c r="Q35" s="7">
        <f t="shared" ref="Q35:Q43" si="4">3.28083989501*O35</f>
        <v>0.115157480314851</v>
      </c>
      <c r="R35" s="7">
        <v>1.4999999999999999E-4</v>
      </c>
      <c r="S35" s="7">
        <f t="shared" ref="S35:S43" si="5">R35/Q35</f>
        <v>1.3025641025653425E-3</v>
      </c>
    </row>
    <row r="36" spans="1:19" s="9" customFormat="1">
      <c r="N36" s="7"/>
      <c r="O36" s="7">
        <v>4.0899999999999999E-2</v>
      </c>
      <c r="P36" s="7">
        <f t="shared" si="3"/>
        <v>1.3138207919749997E-3</v>
      </c>
      <c r="Q36" s="7">
        <f t="shared" si="4"/>
        <v>0.13418635170590901</v>
      </c>
      <c r="R36" s="7">
        <v>1.4999999999999999E-4</v>
      </c>
      <c r="S36" s="7">
        <f t="shared" si="5"/>
        <v>1.1178484107590102E-3</v>
      </c>
    </row>
    <row r="37" spans="1:19" s="9" customFormat="1">
      <c r="B37" s="15" t="s">
        <v>92</v>
      </c>
      <c r="C37" s="15" t="s">
        <v>88</v>
      </c>
      <c r="D37" s="15" t="s">
        <v>94</v>
      </c>
      <c r="E37" s="15" t="s">
        <v>89</v>
      </c>
      <c r="F37" s="15" t="s">
        <v>18</v>
      </c>
      <c r="G37" s="15" t="s">
        <v>19</v>
      </c>
      <c r="H37" s="15"/>
      <c r="I37" s="15" t="s">
        <v>96</v>
      </c>
      <c r="J37" s="15" t="s">
        <v>90</v>
      </c>
      <c r="K37" s="48"/>
      <c r="L37" s="30"/>
      <c r="N37" s="7" t="s">
        <v>8</v>
      </c>
      <c r="O37" s="7">
        <f>5.25/100</f>
        <v>5.2499999999999998E-2</v>
      </c>
      <c r="P37" s="7">
        <f t="shared" si="3"/>
        <v>2.1647518593749995E-3</v>
      </c>
      <c r="Q37" s="7">
        <f t="shared" si="4"/>
        <v>0.172244094488025</v>
      </c>
      <c r="R37" s="7">
        <v>1.4999999999999999E-4</v>
      </c>
      <c r="S37" s="7">
        <f t="shared" si="5"/>
        <v>8.7085714285797182E-4</v>
      </c>
    </row>
    <row r="38" spans="1:19" s="9" customFormat="1">
      <c r="B38" s="10">
        <f>H33</f>
        <v>1.5844565073967452</v>
      </c>
      <c r="C38" s="10">
        <v>0</v>
      </c>
      <c r="D38" s="10">
        <v>1.8</v>
      </c>
      <c r="E38" s="10">
        <v>0</v>
      </c>
      <c r="F38" s="10">
        <f>I41</f>
        <v>1.610808131971476</v>
      </c>
      <c r="G38" s="10">
        <v>9.8000000000000007</v>
      </c>
      <c r="H38" s="10">
        <f>C33</f>
        <v>971.83</v>
      </c>
      <c r="I38" s="10">
        <v>0</v>
      </c>
      <c r="J38" s="47">
        <f>(((POWER(B38,2)-POWER(C38,2))/(2*G38))+(I38/H38)+(D38-E38)+F38)*H38</f>
        <v>3439.2043184526433</v>
      </c>
      <c r="K38" s="48"/>
      <c r="L38" s="30"/>
      <c r="N38" s="7"/>
      <c r="O38" s="7">
        <f>6.271/100</f>
        <v>6.2710000000000002E-2</v>
      </c>
      <c r="P38" s="7">
        <f t="shared" si="3"/>
        <v>3.0886103047797499E-3</v>
      </c>
      <c r="Q38" s="7">
        <f t="shared" si="4"/>
        <v>0.2057414698160771</v>
      </c>
      <c r="R38" s="7">
        <v>1.4999999999999999E-4</v>
      </c>
      <c r="S38" s="7">
        <f t="shared" si="5"/>
        <v>7.2907032371302054E-4</v>
      </c>
    </row>
    <row r="39" spans="1:19" s="9" customFormat="1">
      <c r="N39" s="7" t="s">
        <v>9</v>
      </c>
      <c r="O39" s="7">
        <f>7.793/100</f>
        <v>7.7929999999999999E-2</v>
      </c>
      <c r="P39" s="7">
        <f t="shared" si="3"/>
        <v>4.7697856977477497E-3</v>
      </c>
      <c r="Q39" s="7">
        <f t="shared" si="4"/>
        <v>0.25567585301812928</v>
      </c>
      <c r="R39" s="7">
        <v>1.4999999999999999E-4</v>
      </c>
      <c r="S39" s="7">
        <f t="shared" si="5"/>
        <v>5.8668035416455187E-4</v>
      </c>
    </row>
    <row r="40" spans="1:19" s="9" customFormat="1">
      <c r="B40" s="5" t="s">
        <v>33</v>
      </c>
      <c r="C40" s="5" t="s">
        <v>19</v>
      </c>
      <c r="D40" s="5" t="s">
        <v>16</v>
      </c>
      <c r="E40" s="5" t="s">
        <v>34</v>
      </c>
      <c r="F40" s="5" t="s">
        <v>6</v>
      </c>
      <c r="G40" s="5" t="s">
        <v>35</v>
      </c>
      <c r="H40" s="5" t="s">
        <v>24</v>
      </c>
      <c r="I40" s="5" t="s">
        <v>36</v>
      </c>
      <c r="K40" s="5" t="s">
        <v>45</v>
      </c>
      <c r="L40" s="5" t="s">
        <v>47</v>
      </c>
      <c r="N40" s="7"/>
      <c r="O40" s="7">
        <f>9.012/100</f>
        <v>9.0120000000000006E-2</v>
      </c>
      <c r="P40" s="7">
        <f t="shared" si="3"/>
        <v>6.3786956457240005E-3</v>
      </c>
      <c r="Q40" s="7">
        <f t="shared" si="4"/>
        <v>0.29566929133830122</v>
      </c>
      <c r="R40" s="7">
        <v>1.4999999999999999E-4</v>
      </c>
      <c r="S40" s="7">
        <f t="shared" si="5"/>
        <v>5.0732356857571587E-4</v>
      </c>
    </row>
    <row r="41" spans="1:19" s="9" customFormat="1">
      <c r="B41" s="10">
        <f>H33</f>
        <v>1.5844565073967452</v>
      </c>
      <c r="C41" s="10">
        <v>9.8000000000000007</v>
      </c>
      <c r="D41" s="23">
        <f>K33</f>
        <v>2.1100000000000001E-2</v>
      </c>
      <c r="E41" s="10">
        <v>5.2</v>
      </c>
      <c r="F41" s="10">
        <f>I33</f>
        <v>5.2499999999999998E-2</v>
      </c>
      <c r="G41" s="10">
        <f>F55</f>
        <v>460</v>
      </c>
      <c r="H41" s="10">
        <f>H55</f>
        <v>0.78</v>
      </c>
      <c r="I41" s="10">
        <f>((POWER(B41,2))/(2*C41))*((D41*((E41/F41)+F55)+H55))</f>
        <v>1.610808131971476</v>
      </c>
      <c r="K41" s="10">
        <f>J38*14.6951/10331.9272</f>
        <v>4.8915802833079809</v>
      </c>
      <c r="L41" s="10">
        <v>14.696099999999999</v>
      </c>
      <c r="N41" s="7" t="s">
        <v>10</v>
      </c>
      <c r="O41" s="7">
        <f>10.226/100</f>
        <v>0.10226</v>
      </c>
      <c r="P41" s="7">
        <f t="shared" si="3"/>
        <v>8.2129861662710007E-3</v>
      </c>
      <c r="Q41" s="7">
        <f t="shared" si="4"/>
        <v>0.33549868766372265</v>
      </c>
      <c r="R41" s="7">
        <v>1.4999999999999999E-4</v>
      </c>
      <c r="S41" s="7">
        <f t="shared" si="5"/>
        <v>4.470956385687807E-4</v>
      </c>
    </row>
    <row r="42" spans="1:19">
      <c r="K42" s="6" t="s">
        <v>46</v>
      </c>
      <c r="N42" s="7" t="s">
        <v>11</v>
      </c>
      <c r="O42" s="8">
        <f>12.819/100</f>
        <v>0.12819</v>
      </c>
      <c r="P42" s="8">
        <f t="shared" si="3"/>
        <v>1.2906182727249749E-2</v>
      </c>
      <c r="Q42" s="7">
        <f t="shared" si="4"/>
        <v>0.42057086614133193</v>
      </c>
      <c r="R42" s="7">
        <v>1.4999999999999999E-4</v>
      </c>
      <c r="S42" s="8">
        <f t="shared" si="5"/>
        <v>3.5665808565444668E-4</v>
      </c>
    </row>
    <row r="43" spans="1:19">
      <c r="C43" s="68" t="s">
        <v>20</v>
      </c>
      <c r="D43" s="69"/>
      <c r="E43" s="69"/>
      <c r="F43" s="69"/>
      <c r="G43" s="69"/>
      <c r="H43" s="70"/>
      <c r="K43" s="4">
        <f>L41+K41</f>
        <v>19.587680283307982</v>
      </c>
      <c r="N43" s="7" t="s">
        <v>12</v>
      </c>
      <c r="O43" s="8">
        <f>15.405/100</f>
        <v>0.15404999999999999</v>
      </c>
      <c r="P43" s="8">
        <f t="shared" si="3"/>
        <v>1.8638584194993747E-2</v>
      </c>
      <c r="Q43" s="7">
        <f t="shared" si="4"/>
        <v>0.50541338582629047</v>
      </c>
      <c r="R43" s="7">
        <v>1.4999999999999999E-4</v>
      </c>
      <c r="S43" s="8">
        <f t="shared" si="5"/>
        <v>2.9678675754653375E-4</v>
      </c>
    </row>
    <row r="44" spans="1:19" s="9" customFormat="1" ht="18">
      <c r="C44" s="1" t="s">
        <v>21</v>
      </c>
      <c r="D44" s="1" t="s">
        <v>22</v>
      </c>
      <c r="E44" s="1" t="s">
        <v>67</v>
      </c>
      <c r="F44" s="1" t="s">
        <v>66</v>
      </c>
      <c r="G44" s="1" t="s">
        <v>24</v>
      </c>
      <c r="H44" s="1" t="s">
        <v>65</v>
      </c>
    </row>
    <row r="45" spans="1:19" s="9" customFormat="1">
      <c r="C45" s="24" t="s">
        <v>25</v>
      </c>
      <c r="D45" s="2">
        <v>4</v>
      </c>
      <c r="E45" s="2">
        <v>30</v>
      </c>
      <c r="F45" s="2">
        <f>(D45*E45)</f>
        <v>120</v>
      </c>
      <c r="G45" s="2"/>
      <c r="H45" s="2"/>
    </row>
    <row r="46" spans="1:19" s="9" customFormat="1">
      <c r="C46" s="24" t="s">
        <v>26</v>
      </c>
      <c r="D46" s="2">
        <v>0</v>
      </c>
      <c r="E46" s="2">
        <v>20</v>
      </c>
      <c r="F46" s="2">
        <f>(D46*E46)</f>
        <v>0</v>
      </c>
      <c r="G46" s="2"/>
      <c r="H46" s="2"/>
      <c r="O46" s="30"/>
      <c r="P46" s="30"/>
      <c r="Q46" s="30"/>
      <c r="R46" s="30"/>
    </row>
    <row r="47" spans="1:19" s="9" customFormat="1">
      <c r="C47" s="24" t="s">
        <v>27</v>
      </c>
      <c r="D47" s="2">
        <v>0</v>
      </c>
      <c r="E47" s="2">
        <v>60</v>
      </c>
      <c r="F47" s="2">
        <f>(D47*E47)</f>
        <v>0</v>
      </c>
      <c r="G47" s="2"/>
      <c r="H47" s="2"/>
      <c r="O47" s="30"/>
      <c r="P47" s="30"/>
      <c r="Q47" s="30"/>
      <c r="R47" s="30"/>
    </row>
    <row r="48" spans="1:19" s="9" customFormat="1">
      <c r="C48" s="24" t="s">
        <v>50</v>
      </c>
      <c r="D48" s="2"/>
      <c r="E48" s="2"/>
      <c r="F48" s="2">
        <f>(D48*E48)</f>
        <v>0</v>
      </c>
      <c r="G48" s="2">
        <f>H48*D48</f>
        <v>0</v>
      </c>
      <c r="H48" s="2">
        <v>0.78</v>
      </c>
    </row>
    <row r="49" spans="1:13" s="9" customFormat="1">
      <c r="C49" s="24" t="s">
        <v>51</v>
      </c>
      <c r="D49" s="2">
        <v>1</v>
      </c>
      <c r="E49" s="2"/>
      <c r="F49" s="2">
        <f>(D49*E49)</f>
        <v>0</v>
      </c>
      <c r="G49" s="2"/>
      <c r="H49" s="2">
        <f>D49*G49</f>
        <v>0</v>
      </c>
    </row>
    <row r="50" spans="1:13" s="9" customFormat="1">
      <c r="C50" s="24" t="s">
        <v>28</v>
      </c>
      <c r="D50" s="2">
        <v>0</v>
      </c>
      <c r="E50" s="2"/>
      <c r="F50" s="2"/>
      <c r="G50" s="2"/>
      <c r="H50" s="2"/>
    </row>
    <row r="51" spans="1:13" s="9" customFormat="1">
      <c r="C51" s="24" t="s">
        <v>29</v>
      </c>
      <c r="D51" s="2">
        <v>0</v>
      </c>
      <c r="E51" s="2"/>
      <c r="F51" s="2"/>
      <c r="G51" s="2">
        <v>0.04</v>
      </c>
      <c r="H51" s="2">
        <f>(D51*G51)</f>
        <v>0</v>
      </c>
    </row>
    <row r="52" spans="1:13" s="9" customFormat="1">
      <c r="C52" s="24" t="s">
        <v>30</v>
      </c>
      <c r="D52" s="2"/>
      <c r="E52" s="2">
        <v>13</v>
      </c>
      <c r="F52" s="2">
        <f>(D52*E52)</f>
        <v>0</v>
      </c>
      <c r="G52" s="2"/>
      <c r="H52" s="2"/>
    </row>
    <row r="53" spans="1:13" s="9" customFormat="1">
      <c r="C53" s="24" t="s">
        <v>31</v>
      </c>
      <c r="D53" s="2">
        <v>1</v>
      </c>
      <c r="E53" s="2">
        <v>340</v>
      </c>
      <c r="F53" s="2">
        <f>(D53*E53)</f>
        <v>340</v>
      </c>
      <c r="G53" s="2"/>
      <c r="H53" s="2"/>
    </row>
    <row r="54" spans="1:13" s="9" customFormat="1">
      <c r="C54" s="24" t="s">
        <v>32</v>
      </c>
      <c r="D54" s="2">
        <v>0</v>
      </c>
      <c r="E54" s="2">
        <v>13</v>
      </c>
      <c r="F54" s="2">
        <f>(D54*E54)</f>
        <v>0</v>
      </c>
      <c r="G54" s="2"/>
      <c r="H54" s="2"/>
    </row>
    <row r="55" spans="1:13" s="9" customFormat="1">
      <c r="C55" s="24" t="s">
        <v>52</v>
      </c>
      <c r="D55" s="2"/>
      <c r="E55" s="2"/>
      <c r="F55" s="2">
        <f>SUM(F45:F54)</f>
        <v>460</v>
      </c>
      <c r="G55" s="2"/>
      <c r="H55" s="2">
        <f>SUM(H45:H54)</f>
        <v>0.78</v>
      </c>
    </row>
    <row r="56" spans="1:13" s="9" customFormat="1"/>
    <row r="57" spans="1:13" s="9" customFormat="1">
      <c r="C57" s="24" t="s">
        <v>39</v>
      </c>
      <c r="D57" s="50" t="s">
        <v>40</v>
      </c>
      <c r="E57" s="48"/>
    </row>
    <row r="58" spans="1:13" s="9" customFormat="1">
      <c r="C58" s="24">
        <f>I14</f>
        <v>0.23262775352041556</v>
      </c>
      <c r="D58" s="50">
        <f>I41</f>
        <v>1.610808131971476</v>
      </c>
      <c r="E58" s="48"/>
    </row>
    <row r="59" spans="1:13" s="9" customFormat="1">
      <c r="A59" s="14" t="s">
        <v>105</v>
      </c>
      <c r="B59" s="14" t="s">
        <v>106</v>
      </c>
      <c r="C59" s="12"/>
      <c r="D59" s="12"/>
      <c r="E59" s="12"/>
      <c r="F59" s="12"/>
      <c r="G59" s="12"/>
      <c r="H59" s="12"/>
      <c r="I59" s="14"/>
      <c r="J59" s="14"/>
      <c r="K59" s="14"/>
      <c r="L59" s="14"/>
      <c r="M59" s="14"/>
    </row>
    <row r="60" spans="1:13" s="27" customFormat="1">
      <c r="B60" s="26" t="s">
        <v>81</v>
      </c>
      <c r="C60" s="26" t="s">
        <v>92</v>
      </c>
      <c r="D60" s="26" t="s">
        <v>78</v>
      </c>
      <c r="E60" s="26" t="s">
        <v>94</v>
      </c>
      <c r="F60" s="26" t="s">
        <v>38</v>
      </c>
      <c r="G60" s="26" t="s">
        <v>19</v>
      </c>
      <c r="H60" s="26"/>
      <c r="I60" s="26" t="s">
        <v>76</v>
      </c>
      <c r="J60" s="26" t="s">
        <v>100</v>
      </c>
      <c r="K60" s="26" t="s">
        <v>37</v>
      </c>
    </row>
    <row r="61" spans="1:13" s="27" customFormat="1">
      <c r="B61" s="28">
        <f>B41</f>
        <v>1.5844565073967452</v>
      </c>
      <c r="C61" s="28">
        <v>0</v>
      </c>
      <c r="D61" s="28">
        <v>0.9</v>
      </c>
      <c r="E61" s="28">
        <v>1.8</v>
      </c>
      <c r="F61" s="28">
        <f>C58+D58+E58</f>
        <v>1.8434358854918915</v>
      </c>
      <c r="G61" s="28">
        <v>9.8000000000000007</v>
      </c>
      <c r="H61" s="28">
        <f>C33</f>
        <v>971.83</v>
      </c>
      <c r="I61" s="28">
        <v>0</v>
      </c>
      <c r="J61" s="28">
        <v>0</v>
      </c>
      <c r="K61" s="28">
        <f>((J61-I61)/(2*G61))+(E61-D61)+((POWER(C61,2)-POWER(B61,2))/H61)+F61</f>
        <v>2.7408526122611496</v>
      </c>
    </row>
    <row r="62" spans="1:13" s="27" customFormat="1"/>
    <row r="63" spans="1:13" s="27" customFormat="1"/>
    <row r="64" spans="1:13" s="27" customFormat="1"/>
    <row r="65" spans="2:8" s="27" customFormat="1">
      <c r="B65" s="26" t="s">
        <v>41</v>
      </c>
      <c r="C65" s="26" t="s">
        <v>19</v>
      </c>
      <c r="D65" s="26" t="s">
        <v>68</v>
      </c>
      <c r="E65" s="26" t="s">
        <v>43</v>
      </c>
      <c r="F65" s="26"/>
      <c r="G65" s="51" t="s">
        <v>44</v>
      </c>
      <c r="H65" s="53"/>
    </row>
    <row r="66" spans="2:8" s="27" customFormat="1">
      <c r="B66" s="28">
        <f>B61</f>
        <v>1.5844565073967452</v>
      </c>
      <c r="C66" s="28">
        <v>9.8000000000000007</v>
      </c>
      <c r="D66" s="28">
        <f>L16</f>
        <v>9559.5792646976024</v>
      </c>
      <c r="E66" s="28">
        <v>4827.45</v>
      </c>
      <c r="F66" s="28">
        <f>C6</f>
        <v>971.83</v>
      </c>
      <c r="G66" s="52">
        <f>POWER(B66,2)/(2*C66)+(D66-E66)/F66</f>
        <v>4.997384230015955</v>
      </c>
      <c r="H66" s="53"/>
    </row>
  </sheetData>
  <mergeCells count="2">
    <mergeCell ref="C43:H43"/>
    <mergeCell ref="N5:S5"/>
  </mergeCells>
  <pageMargins left="0.7" right="0.7" top="0.75" bottom="0.75" header="0.3" footer="0.3"/>
  <pageSetup paperSize="9" orientation="portrait" verticalDpi="0" r:id="rId1"/>
  <drawing r:id="rId2"/>
  <legacyDrawing r:id="rId3"/>
  <oleObjects>
    <oleObject progId="Equation.3" shapeId="1025" r:id="rId4"/>
    <oleObject progId="Equation.3" shapeId="1026" r:id="rId5"/>
    <oleObject progId="Equation.3" shapeId="1027" r:id="rId6"/>
    <oleObject progId="Equation.3" shapeId="1030" r:id="rId7"/>
    <oleObject progId="Equation.3" shapeId="1031" r:id="rId8"/>
    <oleObject progId="Equation.3" shapeId="1032" r:id="rId9"/>
    <oleObject progId="Equation.3" shapeId="1033" r:id="rId10"/>
    <oleObject progId="Equation.3" shapeId="1034" r:id="rId11"/>
    <oleObject progId="Equation.3" shapeId="1035" r:id="rId12"/>
    <oleObject progId="Equation.3" shapeId="1045" r:id="rId13"/>
    <oleObject progId="Equation.3" shapeId="1051" r:id="rId14"/>
    <oleObject progId="Equation.3" shapeId="1052" r:id="rId15"/>
    <oleObject progId="Equation.3" shapeId="1054" r:id="rId16"/>
    <oleObject progId="Equation.3" shapeId="1055" r:id="rId17"/>
    <oleObject progId="Equation.3" shapeId="1056" r:id="rId18"/>
    <oleObject progId="Equation.3" shapeId="1057" r:id="rId19"/>
    <oleObject progId="Equation.3" shapeId="1058" r:id="rId20"/>
    <oleObject progId="Equation.3" shapeId="1059" r:id="rId21"/>
    <oleObject progId="Equation.3" shapeId="1060" r:id="rId22"/>
    <oleObject progId="Equation.3" shapeId="1061" r:id="rId23"/>
    <oleObject progId="Equation.3" shapeId="1062" r:id="rId24"/>
    <oleObject progId="Equation.3" shapeId="1063" r:id="rId25"/>
    <oleObject progId="Equation.3" shapeId="1064" r:id="rId26"/>
    <oleObject progId="Equation.3" shapeId="1065" r:id="rId27"/>
    <oleObject progId="Equation.3" shapeId="1069" r:id="rId28"/>
    <oleObject progId="Equation.3" shapeId="1070" r:id="rId29"/>
    <oleObject progId="Equation.3" shapeId="1071" r:id="rId30"/>
    <oleObject progId="Equation.3" shapeId="1072" r:id="rId31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T151"/>
  <sheetViews>
    <sheetView topLeftCell="A118" workbookViewId="0">
      <selection activeCell="K125" sqref="K125"/>
    </sheetView>
  </sheetViews>
  <sheetFormatPr baseColWidth="10" defaultRowHeight="15"/>
  <cols>
    <col min="2" max="2" width="13.28515625" customWidth="1"/>
    <col min="3" max="3" width="21.28515625" customWidth="1"/>
    <col min="4" max="4" width="13.7109375" customWidth="1"/>
    <col min="6" max="6" width="11.5703125" customWidth="1"/>
    <col min="7" max="7" width="22.7109375" customWidth="1"/>
  </cols>
  <sheetData>
    <row r="1" spans="1:20">
      <c r="B1" t="s">
        <v>3</v>
      </c>
    </row>
    <row r="2" spans="1:20" s="14" customFormat="1">
      <c r="A2" s="14" t="s">
        <v>64</v>
      </c>
    </row>
    <row r="3" spans="1:20">
      <c r="F3" s="6"/>
      <c r="G3" s="11">
        <v>0.89400000000000002</v>
      </c>
    </row>
    <row r="5" spans="1:20" s="9" customFormat="1">
      <c r="A5" s="5"/>
      <c r="B5" s="5" t="s">
        <v>0</v>
      </c>
      <c r="C5" s="5"/>
      <c r="D5" s="5" t="s">
        <v>1</v>
      </c>
      <c r="E5" s="5"/>
      <c r="F5" s="5" t="s">
        <v>56</v>
      </c>
      <c r="G5" s="5"/>
      <c r="H5" s="5" t="s">
        <v>15</v>
      </c>
      <c r="I5" s="5" t="s">
        <v>6</v>
      </c>
      <c r="J5" s="5" t="s">
        <v>14</v>
      </c>
      <c r="K5" s="5" t="s">
        <v>16</v>
      </c>
      <c r="L5" s="5" t="s">
        <v>53</v>
      </c>
      <c r="M5" s="5" t="s">
        <v>54</v>
      </c>
      <c r="O5" s="35"/>
      <c r="P5" s="22" t="s">
        <v>4</v>
      </c>
      <c r="Q5" s="22"/>
      <c r="R5" s="16"/>
      <c r="S5" s="17"/>
      <c r="T5" s="18"/>
    </row>
    <row r="6" spans="1:20" s="9" customFormat="1">
      <c r="A6" s="10">
        <f>C6*0.0624279605761</f>
        <v>62.245046651612029</v>
      </c>
      <c r="B6" s="11">
        <v>350</v>
      </c>
      <c r="C6" s="11">
        <v>997.07</v>
      </c>
      <c r="D6" s="11">
        <v>1</v>
      </c>
      <c r="E6" s="10">
        <f>B6/D6</f>
        <v>350</v>
      </c>
      <c r="F6" s="10">
        <f>E6/C6</f>
        <v>0.35102851354468589</v>
      </c>
      <c r="G6" s="10">
        <f>0.001*G3</f>
        <v>8.9400000000000005E-4</v>
      </c>
      <c r="H6" s="10">
        <f>F6/(M6*60)</f>
        <v>2.7026077840782623</v>
      </c>
      <c r="I6" s="11">
        <f>P10</f>
        <v>5.2499999999999998E-2</v>
      </c>
      <c r="J6" s="10">
        <f>(I6*H6*C6)/G6</f>
        <v>158245.16780953348</v>
      </c>
      <c r="K6" s="38">
        <v>2.3050000000000001E-2</v>
      </c>
      <c r="L6" s="10">
        <f>F6*264.172052358</f>
        <v>92.73192285927766</v>
      </c>
      <c r="M6" s="11">
        <f>Q10</f>
        <v>2.1647518593749995E-3</v>
      </c>
      <c r="O6" s="3" t="s">
        <v>5</v>
      </c>
      <c r="P6" s="1" t="s">
        <v>6</v>
      </c>
      <c r="Q6" s="1" t="s">
        <v>54</v>
      </c>
      <c r="R6" s="1"/>
      <c r="S6" s="1" t="s">
        <v>13</v>
      </c>
      <c r="T6" s="1" t="s">
        <v>7</v>
      </c>
    </row>
    <row r="7" spans="1:20" s="9" customFormat="1">
      <c r="M7" s="31"/>
      <c r="O7" s="7">
        <v>1</v>
      </c>
      <c r="P7" s="7">
        <v>2.6599999999999999E-2</v>
      </c>
      <c r="Q7" s="7">
        <f>(POWER(P7,2)*3.14159/4)</f>
        <v>5.5571585509999995E-4</v>
      </c>
      <c r="R7" s="7">
        <f>3.28083989501*P7</f>
        <v>8.7270341207265997E-2</v>
      </c>
      <c r="S7" s="7">
        <v>1.4999999999999999E-4</v>
      </c>
      <c r="T7" s="7">
        <f>S7/R7</f>
        <v>1.7187969924828393E-3</v>
      </c>
    </row>
    <row r="8" spans="1:20" s="9" customFormat="1">
      <c r="B8" s="9" t="s">
        <v>48</v>
      </c>
      <c r="M8" s="31"/>
      <c r="O8" s="7"/>
      <c r="P8" s="7">
        <v>3.5099999999999999E-2</v>
      </c>
      <c r="Q8" s="7">
        <f t="shared" ref="Q8:Q16" si="0">(POWER(P8,2)*3.14159/4)</f>
        <v>9.6761757397499995E-4</v>
      </c>
      <c r="R8" s="7">
        <f t="shared" ref="R8:R16" si="1">3.28083989501*P8</f>
        <v>0.115157480314851</v>
      </c>
      <c r="S8" s="7">
        <v>1.4999999999999999E-4</v>
      </c>
      <c r="T8" s="7">
        <f t="shared" ref="T8:T16" si="2">S8/R8</f>
        <v>1.3025641025653425E-3</v>
      </c>
    </row>
    <row r="9" spans="1:20" s="9" customFormat="1">
      <c r="M9" s="31"/>
      <c r="O9" s="7"/>
      <c r="P9" s="7">
        <v>4.0899999999999999E-2</v>
      </c>
      <c r="Q9" s="7">
        <f t="shared" si="0"/>
        <v>1.3138207919749997E-3</v>
      </c>
      <c r="R9" s="7">
        <f t="shared" si="1"/>
        <v>0.13418635170590901</v>
      </c>
      <c r="S9" s="7">
        <v>1.4999999999999999E-4</v>
      </c>
      <c r="T9" s="7">
        <f t="shared" si="2"/>
        <v>1.1178484107590102E-3</v>
      </c>
    </row>
    <row r="10" spans="1:20" s="9" customFormat="1">
      <c r="B10" s="5" t="s">
        <v>80</v>
      </c>
      <c r="C10" s="5" t="s">
        <v>81</v>
      </c>
      <c r="D10" s="5" t="s">
        <v>79</v>
      </c>
      <c r="E10" s="5" t="s">
        <v>78</v>
      </c>
      <c r="F10" s="5" t="s">
        <v>18</v>
      </c>
      <c r="G10" s="5" t="s">
        <v>19</v>
      </c>
      <c r="H10" s="5"/>
      <c r="I10" s="5" t="s">
        <v>77</v>
      </c>
      <c r="J10" s="5" t="s">
        <v>76</v>
      </c>
      <c r="K10" s="11" t="s">
        <v>75</v>
      </c>
      <c r="L10" s="11" t="s">
        <v>76</v>
      </c>
      <c r="M10" s="30"/>
      <c r="O10" s="7" t="s">
        <v>8</v>
      </c>
      <c r="P10" s="7">
        <f>5.25/100</f>
        <v>5.2499999999999998E-2</v>
      </c>
      <c r="Q10" s="7">
        <f t="shared" si="0"/>
        <v>2.1647518593749995E-3</v>
      </c>
      <c r="R10" s="7">
        <f t="shared" si="1"/>
        <v>0.172244094488025</v>
      </c>
      <c r="S10" s="7">
        <v>1.4999999999999999E-4</v>
      </c>
      <c r="T10" s="7">
        <f t="shared" si="2"/>
        <v>8.7085714285797182E-4</v>
      </c>
    </row>
    <row r="11" spans="1:20" s="9" customFormat="1">
      <c r="B11" s="10">
        <f>H6</f>
        <v>2.7026077840782623</v>
      </c>
      <c r="C11" s="11">
        <v>0</v>
      </c>
      <c r="D11" s="11">
        <v>0</v>
      </c>
      <c r="E11" s="11">
        <v>1.36</v>
      </c>
      <c r="F11" s="10">
        <f>I14</f>
        <v>0.77456259733775057</v>
      </c>
      <c r="G11" s="10">
        <v>9.8000000000000007</v>
      </c>
      <c r="H11" s="10">
        <f>C6</f>
        <v>997.07</v>
      </c>
      <c r="I11" s="10"/>
      <c r="J11" s="10"/>
      <c r="K11" s="11">
        <f>J11+((POWER(C11,2)-POWER(B11,2))/(2*G11)+(E11-D11)-F11)*H11</f>
        <v>212.15636422167606</v>
      </c>
      <c r="L11" s="11">
        <f>I11+((POWER(B11,2)-POWER(C11,2))/(2*G11)+(D11-E11)+F11)*H11</f>
        <v>-212.15636422167606</v>
      </c>
      <c r="M11" s="30"/>
      <c r="O11" s="7"/>
      <c r="P11" s="7">
        <f>6.271/100</f>
        <v>6.2710000000000002E-2</v>
      </c>
      <c r="Q11" s="7">
        <f t="shared" si="0"/>
        <v>3.0886103047797499E-3</v>
      </c>
      <c r="R11" s="7">
        <f t="shared" si="1"/>
        <v>0.2057414698160771</v>
      </c>
      <c r="S11" s="7">
        <v>1.4999999999999999E-4</v>
      </c>
      <c r="T11" s="7">
        <f t="shared" si="2"/>
        <v>7.2907032371302054E-4</v>
      </c>
    </row>
    <row r="12" spans="1:20" s="9" customFormat="1">
      <c r="M12" s="31"/>
      <c r="O12" s="7" t="s">
        <v>9</v>
      </c>
      <c r="P12" s="7">
        <f>7.793/100</f>
        <v>7.7929999999999999E-2</v>
      </c>
      <c r="Q12" s="7">
        <f t="shared" si="0"/>
        <v>4.7697856977477497E-3</v>
      </c>
      <c r="R12" s="7">
        <f t="shared" si="1"/>
        <v>0.25567585301812928</v>
      </c>
      <c r="S12" s="7">
        <v>1.4999999999999999E-4</v>
      </c>
      <c r="T12" s="7">
        <f t="shared" si="2"/>
        <v>5.8668035416455187E-4</v>
      </c>
    </row>
    <row r="13" spans="1:20" s="9" customFormat="1">
      <c r="B13" s="5" t="s">
        <v>33</v>
      </c>
      <c r="C13" s="5" t="s">
        <v>19</v>
      </c>
      <c r="D13" s="5" t="s">
        <v>16</v>
      </c>
      <c r="E13" s="5" t="s">
        <v>34</v>
      </c>
      <c r="F13" s="5" t="s">
        <v>6</v>
      </c>
      <c r="G13" s="5" t="s">
        <v>35</v>
      </c>
      <c r="H13" s="5" t="s">
        <v>24</v>
      </c>
      <c r="I13" s="5" t="s">
        <v>36</v>
      </c>
      <c r="K13" s="5" t="s">
        <v>45</v>
      </c>
      <c r="L13" s="5" t="s">
        <v>47</v>
      </c>
      <c r="M13" s="30"/>
      <c r="O13" s="7"/>
      <c r="P13" s="7">
        <f>9.012/100</f>
        <v>9.0120000000000006E-2</v>
      </c>
      <c r="Q13" s="7">
        <f t="shared" si="0"/>
        <v>6.3786956457240005E-3</v>
      </c>
      <c r="R13" s="7">
        <f t="shared" si="1"/>
        <v>0.29566929133830122</v>
      </c>
      <c r="S13" s="7">
        <v>1.4999999999999999E-4</v>
      </c>
      <c r="T13" s="7">
        <f t="shared" si="2"/>
        <v>5.0732356857571587E-4</v>
      </c>
    </row>
    <row r="14" spans="1:20" s="9" customFormat="1">
      <c r="B14" s="10">
        <f>B11</f>
        <v>2.7026077840782623</v>
      </c>
      <c r="C14" s="10">
        <v>9.8000000000000007</v>
      </c>
      <c r="D14" s="23">
        <f>K6</f>
        <v>2.3050000000000001E-2</v>
      </c>
      <c r="E14" s="11">
        <v>0.7</v>
      </c>
      <c r="F14" s="10">
        <f>I6</f>
        <v>5.2499999999999998E-2</v>
      </c>
      <c r="G14" s="10">
        <f>F28</f>
        <v>43</v>
      </c>
      <c r="H14" s="10">
        <f>H28</f>
        <v>0.78</v>
      </c>
      <c r="I14" s="10">
        <f>((POWER(B14,2))/(2*C14))*((D14*((E14/F14)+F28)+H28))</f>
        <v>0.77456259733775057</v>
      </c>
      <c r="K14" s="10">
        <f>14.6951*L11/10331.9272</f>
        <v>-0.30174999567108368</v>
      </c>
      <c r="L14" s="10">
        <v>14.696099999999999</v>
      </c>
      <c r="M14" s="29"/>
      <c r="O14" s="7" t="s">
        <v>10</v>
      </c>
      <c r="P14" s="7">
        <f>10.226/100</f>
        <v>0.10226</v>
      </c>
      <c r="Q14" s="7">
        <f t="shared" si="0"/>
        <v>8.2129861662710007E-3</v>
      </c>
      <c r="R14" s="7">
        <f t="shared" si="1"/>
        <v>0.33549868766372265</v>
      </c>
      <c r="S14" s="7">
        <v>1.4999999999999999E-4</v>
      </c>
      <c r="T14" s="7">
        <f t="shared" si="2"/>
        <v>4.470956385687807E-4</v>
      </c>
    </row>
    <row r="15" spans="1:20">
      <c r="K15" s="5" t="s">
        <v>46</v>
      </c>
      <c r="O15" s="7" t="s">
        <v>11</v>
      </c>
      <c r="P15" s="8">
        <f>12.819/100</f>
        <v>0.12819</v>
      </c>
      <c r="Q15" s="8">
        <f t="shared" si="0"/>
        <v>1.2906182727249749E-2</v>
      </c>
      <c r="R15" s="7">
        <f t="shared" si="1"/>
        <v>0.42057086614133193</v>
      </c>
      <c r="S15" s="7">
        <v>1.4999999999999999E-4</v>
      </c>
      <c r="T15" s="8">
        <f t="shared" si="2"/>
        <v>3.5665808565444668E-4</v>
      </c>
    </row>
    <row r="16" spans="1:20">
      <c r="C16" s="19" t="s">
        <v>20</v>
      </c>
      <c r="D16" s="20"/>
      <c r="E16" s="20"/>
      <c r="F16" s="20"/>
      <c r="G16" s="20"/>
      <c r="H16" s="21"/>
      <c r="K16" s="4">
        <f>L14+K14</f>
        <v>14.394350004328915</v>
      </c>
      <c r="L16">
        <f>K16*(10331.9272/14.6951)</f>
        <v>10120.473922330983</v>
      </c>
      <c r="O16" s="7" t="s">
        <v>12</v>
      </c>
      <c r="P16" s="8">
        <f>15.405/100</f>
        <v>0.15404999999999999</v>
      </c>
      <c r="Q16" s="8">
        <f t="shared" si="0"/>
        <v>1.8638584194993747E-2</v>
      </c>
      <c r="R16" s="7">
        <f t="shared" si="1"/>
        <v>0.50541338582629047</v>
      </c>
      <c r="S16" s="7">
        <v>1.4999999999999999E-4</v>
      </c>
      <c r="T16" s="8">
        <f t="shared" si="2"/>
        <v>2.9678675754653375E-4</v>
      </c>
    </row>
    <row r="17" spans="1:19" ht="18">
      <c r="C17" s="1" t="s">
        <v>21</v>
      </c>
      <c r="D17" s="1" t="s">
        <v>22</v>
      </c>
      <c r="E17" s="1" t="s">
        <v>67</v>
      </c>
      <c r="F17" s="1" t="s">
        <v>66</v>
      </c>
      <c r="G17" s="1" t="s">
        <v>24</v>
      </c>
      <c r="H17" s="1" t="s">
        <v>65</v>
      </c>
    </row>
    <row r="18" spans="1:19">
      <c r="C18" s="24" t="s">
        <v>25</v>
      </c>
      <c r="D18" s="2">
        <v>1</v>
      </c>
      <c r="E18" s="2">
        <v>30</v>
      </c>
      <c r="F18" s="2">
        <f>(D18*E18)</f>
        <v>30</v>
      </c>
      <c r="G18" s="2"/>
      <c r="H18" s="2"/>
    </row>
    <row r="19" spans="1:19">
      <c r="C19" s="24" t="s">
        <v>26</v>
      </c>
      <c r="D19" s="2">
        <v>0</v>
      </c>
      <c r="E19" s="2">
        <v>20</v>
      </c>
      <c r="F19" s="2">
        <f>(D19*E19)</f>
        <v>0</v>
      </c>
      <c r="G19" s="2"/>
      <c r="H19" s="2"/>
      <c r="P19" s="43"/>
      <c r="Q19" s="43"/>
      <c r="R19" s="43"/>
      <c r="S19" s="43"/>
    </row>
    <row r="20" spans="1:19">
      <c r="C20" s="24" t="s">
        <v>27</v>
      </c>
      <c r="D20" s="2">
        <v>0</v>
      </c>
      <c r="E20" s="2">
        <v>60</v>
      </c>
      <c r="F20" s="2">
        <f>(D20*E20)</f>
        <v>0</v>
      </c>
      <c r="G20" s="2"/>
      <c r="H20" s="2"/>
      <c r="P20" s="42"/>
      <c r="Q20" s="42"/>
      <c r="R20" s="42"/>
      <c r="S20" s="42"/>
    </row>
    <row r="21" spans="1:19">
      <c r="C21" s="24" t="s">
        <v>50</v>
      </c>
      <c r="D21" s="2">
        <v>1</v>
      </c>
      <c r="E21" s="2"/>
      <c r="F21" s="2"/>
      <c r="G21" s="2">
        <v>0.78</v>
      </c>
      <c r="H21" s="2">
        <f>D21*G21</f>
        <v>0.78</v>
      </c>
      <c r="Q21" t="s">
        <v>49</v>
      </c>
    </row>
    <row r="22" spans="1:19">
      <c r="C22" s="24" t="s">
        <v>51</v>
      </c>
      <c r="D22" s="2">
        <v>0</v>
      </c>
      <c r="E22" s="2"/>
      <c r="F22" s="2"/>
      <c r="G22" s="2">
        <v>1</v>
      </c>
      <c r="H22" s="2">
        <f>G22*D22</f>
        <v>0</v>
      </c>
    </row>
    <row r="23" spans="1:19">
      <c r="C23" s="24" t="s">
        <v>28</v>
      </c>
      <c r="D23" s="2">
        <v>0</v>
      </c>
      <c r="E23" s="2"/>
      <c r="F23" s="2"/>
      <c r="G23" s="2"/>
      <c r="H23" s="2"/>
    </row>
    <row r="24" spans="1:19">
      <c r="C24" s="24" t="s">
        <v>29</v>
      </c>
      <c r="D24" s="2">
        <v>0</v>
      </c>
      <c r="E24" s="2"/>
      <c r="F24" s="2"/>
      <c r="G24" s="2">
        <v>0.04</v>
      </c>
      <c r="H24" s="2">
        <f>(D24*G24)</f>
        <v>0</v>
      </c>
    </row>
    <row r="25" spans="1:19">
      <c r="C25" s="24" t="s">
        <v>30</v>
      </c>
      <c r="D25" s="2">
        <v>1</v>
      </c>
      <c r="E25" s="2">
        <v>13</v>
      </c>
      <c r="F25" s="2">
        <f>(D25*E25)</f>
        <v>13</v>
      </c>
      <c r="G25" s="2"/>
      <c r="H25" s="2"/>
    </row>
    <row r="26" spans="1:19">
      <c r="C26" s="24" t="s">
        <v>31</v>
      </c>
      <c r="D26" s="2">
        <v>0</v>
      </c>
      <c r="E26" s="2">
        <v>450</v>
      </c>
      <c r="F26" s="2">
        <f>(D26*E26)</f>
        <v>0</v>
      </c>
      <c r="G26" s="2"/>
      <c r="H26" s="2"/>
    </row>
    <row r="27" spans="1:19">
      <c r="C27" s="24" t="s">
        <v>58</v>
      </c>
      <c r="D27" s="2">
        <v>0</v>
      </c>
      <c r="E27" s="2">
        <v>140</v>
      </c>
      <c r="F27" s="2">
        <f>(D27*E27)</f>
        <v>0</v>
      </c>
      <c r="G27" s="2"/>
      <c r="H27" s="2"/>
    </row>
    <row r="28" spans="1:19">
      <c r="C28" s="25" t="s">
        <v>52</v>
      </c>
      <c r="D28" s="2"/>
      <c r="E28" s="2"/>
      <c r="F28" s="2">
        <f>SUM(F18:F27)</f>
        <v>43</v>
      </c>
      <c r="G28" s="2"/>
      <c r="H28" s="2">
        <f>SUM(H18:H27)</f>
        <v>0.78</v>
      </c>
    </row>
    <row r="29" spans="1:19">
      <c r="B29" t="s">
        <v>3</v>
      </c>
    </row>
    <row r="30" spans="1:19" s="14" customFormat="1">
      <c r="A30" s="14" t="s">
        <v>57</v>
      </c>
    </row>
    <row r="31" spans="1:19">
      <c r="F31" s="6"/>
      <c r="G31" s="11">
        <v>0.89400000000000002</v>
      </c>
    </row>
    <row r="33" spans="1:20" s="9" customFormat="1">
      <c r="A33" s="5"/>
      <c r="B33" s="5" t="s">
        <v>0</v>
      </c>
      <c r="C33" s="5"/>
      <c r="D33" s="5" t="s">
        <v>1</v>
      </c>
      <c r="E33" s="5"/>
      <c r="F33" s="5" t="s">
        <v>56</v>
      </c>
      <c r="G33" s="5"/>
      <c r="H33" s="5" t="s">
        <v>15</v>
      </c>
      <c r="I33" s="5" t="s">
        <v>6</v>
      </c>
      <c r="J33" s="5" t="s">
        <v>14</v>
      </c>
      <c r="K33" s="5" t="s">
        <v>16</v>
      </c>
      <c r="L33" s="5" t="s">
        <v>53</v>
      </c>
      <c r="M33" s="5" t="s">
        <v>54</v>
      </c>
      <c r="O33" s="35"/>
      <c r="P33" s="22" t="s">
        <v>4</v>
      </c>
      <c r="Q33" s="22"/>
      <c r="R33" s="16"/>
      <c r="S33" s="17"/>
      <c r="T33" s="18"/>
    </row>
    <row r="34" spans="1:20" s="9" customFormat="1">
      <c r="A34" s="10">
        <f>C34*0.0624279605761</f>
        <v>62.245046651612029</v>
      </c>
      <c r="B34" s="11">
        <v>100</v>
      </c>
      <c r="C34" s="11">
        <v>997.07</v>
      </c>
      <c r="D34" s="11">
        <v>1</v>
      </c>
      <c r="E34" s="10">
        <f>B34/D34</f>
        <v>100</v>
      </c>
      <c r="F34" s="10">
        <f>E34/C34</f>
        <v>0.10029386101276741</v>
      </c>
      <c r="G34" s="10">
        <f>0.001*G31</f>
        <v>8.9400000000000005E-4</v>
      </c>
      <c r="H34" s="10">
        <f>F34/(M34*60)</f>
        <v>0.77217365259378934</v>
      </c>
      <c r="I34" s="11">
        <f>P38</f>
        <v>5.2499999999999998E-2</v>
      </c>
      <c r="J34" s="10">
        <f>(I34*H34*C34)/G34</f>
        <v>45212.905088438136</v>
      </c>
      <c r="K34" s="38">
        <v>2.689244E-2</v>
      </c>
      <c r="L34" s="10">
        <f>F34*264.172052358</f>
        <v>26.494835102650764</v>
      </c>
      <c r="M34" s="11">
        <f>Q38</f>
        <v>2.1647518593749995E-3</v>
      </c>
      <c r="O34" s="3" t="s">
        <v>5</v>
      </c>
      <c r="P34" s="1" t="s">
        <v>6</v>
      </c>
      <c r="Q34" s="1" t="s">
        <v>54</v>
      </c>
      <c r="R34" s="1"/>
      <c r="S34" s="1" t="s">
        <v>13</v>
      </c>
      <c r="T34" s="1" t="s">
        <v>7</v>
      </c>
    </row>
    <row r="35" spans="1:20" s="9" customFormat="1">
      <c r="M35" s="31"/>
      <c r="O35" s="7">
        <v>1</v>
      </c>
      <c r="P35" s="7">
        <v>2.6599999999999999E-2</v>
      </c>
      <c r="Q35" s="7">
        <f>(POWER(P35,2)*3.14159/4)</f>
        <v>5.5571585509999995E-4</v>
      </c>
      <c r="R35" s="7">
        <f>3.28083989501*P35</f>
        <v>8.7270341207265997E-2</v>
      </c>
      <c r="S35" s="7">
        <v>1.4999999999999999E-4</v>
      </c>
      <c r="T35" s="7">
        <f>S35/R35</f>
        <v>1.7187969924828393E-3</v>
      </c>
    </row>
    <row r="36" spans="1:20" s="9" customFormat="1">
      <c r="B36" s="9" t="s">
        <v>48</v>
      </c>
      <c r="M36" s="31"/>
      <c r="O36" s="7"/>
      <c r="P36" s="7">
        <v>3.5099999999999999E-2</v>
      </c>
      <c r="Q36" s="7">
        <f t="shared" ref="Q36:Q44" si="3">(POWER(P36,2)*3.14159/4)</f>
        <v>9.6761757397499995E-4</v>
      </c>
      <c r="R36" s="7">
        <f t="shared" ref="R36:R44" si="4">3.28083989501*P36</f>
        <v>0.115157480314851</v>
      </c>
      <c r="S36" s="7">
        <v>1.4999999999999999E-4</v>
      </c>
      <c r="T36" s="7">
        <f t="shared" ref="T36:T44" si="5">S36/R36</f>
        <v>1.3025641025653425E-3</v>
      </c>
    </row>
    <row r="37" spans="1:20" s="9" customFormat="1">
      <c r="M37" s="31"/>
      <c r="O37" s="7"/>
      <c r="P37" s="7">
        <v>4.0899999999999999E-2</v>
      </c>
      <c r="Q37" s="7">
        <f t="shared" si="3"/>
        <v>1.3138207919749997E-3</v>
      </c>
      <c r="R37" s="7">
        <f t="shared" si="4"/>
        <v>0.13418635170590901</v>
      </c>
      <c r="S37" s="7">
        <v>1.4999999999999999E-4</v>
      </c>
      <c r="T37" s="7">
        <f t="shared" si="5"/>
        <v>1.1178484107590102E-3</v>
      </c>
    </row>
    <row r="38" spans="1:20" s="9" customFormat="1">
      <c r="B38" s="5" t="s">
        <v>82</v>
      </c>
      <c r="C38" s="5" t="s">
        <v>83</v>
      </c>
      <c r="D38" s="5" t="s">
        <v>84</v>
      </c>
      <c r="E38" s="5" t="s">
        <v>85</v>
      </c>
      <c r="F38" s="5" t="s">
        <v>18</v>
      </c>
      <c r="G38" s="5" t="s">
        <v>19</v>
      </c>
      <c r="H38" s="5"/>
      <c r="I38" s="5" t="s">
        <v>86</v>
      </c>
      <c r="J38" s="46" t="s">
        <v>87</v>
      </c>
      <c r="K38" s="48"/>
      <c r="L38" s="30"/>
      <c r="M38" s="30"/>
      <c r="O38" s="7" t="s">
        <v>8</v>
      </c>
      <c r="P38" s="7">
        <f>5.25/100</f>
        <v>5.2499999999999998E-2</v>
      </c>
      <c r="Q38" s="7">
        <f t="shared" si="3"/>
        <v>2.1647518593749995E-3</v>
      </c>
      <c r="R38" s="7">
        <f t="shared" si="4"/>
        <v>0.172244094488025</v>
      </c>
      <c r="S38" s="7">
        <v>1.4999999999999999E-4</v>
      </c>
      <c r="T38" s="7">
        <f t="shared" si="5"/>
        <v>8.7085714285797182E-4</v>
      </c>
    </row>
    <row r="39" spans="1:20" s="9" customFormat="1">
      <c r="B39" s="10">
        <f>H34</f>
        <v>0.77217365259378934</v>
      </c>
      <c r="C39" s="11">
        <f>H34</f>
        <v>0.77217365259378934</v>
      </c>
      <c r="D39" s="11">
        <v>0</v>
      </c>
      <c r="E39" s="11">
        <v>0.2</v>
      </c>
      <c r="F39" s="10">
        <f>I42</f>
        <v>0.2922116429435565</v>
      </c>
      <c r="G39" s="10">
        <v>9.8000000000000007</v>
      </c>
      <c r="H39" s="10">
        <f>C34</f>
        <v>997.07</v>
      </c>
      <c r="I39" s="10">
        <f>((J39/H39)+E39+F39-D39+ ((POWER(C39,2)-POWER(B39,2))/(2*G39)))*H39</f>
        <v>490.76946282973194</v>
      </c>
      <c r="J39" s="47">
        <v>0</v>
      </c>
      <c r="K39" s="48"/>
      <c r="L39" s="30"/>
      <c r="M39" s="30"/>
      <c r="O39" s="7"/>
      <c r="P39" s="7">
        <f>6.271/100</f>
        <v>6.2710000000000002E-2</v>
      </c>
      <c r="Q39" s="7">
        <f t="shared" si="3"/>
        <v>3.0886103047797499E-3</v>
      </c>
      <c r="R39" s="7">
        <f t="shared" si="4"/>
        <v>0.2057414698160771</v>
      </c>
      <c r="S39" s="7">
        <v>1.4999999999999999E-4</v>
      </c>
      <c r="T39" s="7">
        <f t="shared" si="5"/>
        <v>7.2907032371302054E-4</v>
      </c>
    </row>
    <row r="40" spans="1:20" s="9" customFormat="1">
      <c r="M40" s="31"/>
      <c r="O40" s="7" t="s">
        <v>9</v>
      </c>
      <c r="P40" s="7">
        <f>7.793/100</f>
        <v>7.7929999999999999E-2</v>
      </c>
      <c r="Q40" s="7">
        <f t="shared" si="3"/>
        <v>4.7697856977477497E-3</v>
      </c>
      <c r="R40" s="7">
        <f t="shared" si="4"/>
        <v>0.25567585301812928</v>
      </c>
      <c r="S40" s="7">
        <v>1.4999999999999999E-4</v>
      </c>
      <c r="T40" s="7">
        <f t="shared" si="5"/>
        <v>5.8668035416455187E-4</v>
      </c>
    </row>
    <row r="41" spans="1:20" s="9" customFormat="1">
      <c r="B41" s="5" t="s">
        <v>33</v>
      </c>
      <c r="C41" s="5" t="s">
        <v>19</v>
      </c>
      <c r="D41" s="5" t="s">
        <v>16</v>
      </c>
      <c r="E41" s="5" t="s">
        <v>34</v>
      </c>
      <c r="F41" s="5" t="s">
        <v>6</v>
      </c>
      <c r="G41" s="5" t="s">
        <v>35</v>
      </c>
      <c r="H41" s="5" t="s">
        <v>24</v>
      </c>
      <c r="I41" s="5" t="s">
        <v>36</v>
      </c>
      <c r="K41" s="5" t="s">
        <v>45</v>
      </c>
      <c r="L41" s="5" t="s">
        <v>47</v>
      </c>
      <c r="M41" s="30"/>
      <c r="O41" s="7"/>
      <c r="P41" s="7">
        <f>9.012/100</f>
        <v>9.0120000000000006E-2</v>
      </c>
      <c r="Q41" s="7">
        <f t="shared" si="3"/>
        <v>6.3786956457240005E-3</v>
      </c>
      <c r="R41" s="7">
        <f t="shared" si="4"/>
        <v>0.29566929133830122</v>
      </c>
      <c r="S41" s="7">
        <v>1.4999999999999999E-4</v>
      </c>
      <c r="T41" s="7">
        <f t="shared" si="5"/>
        <v>5.0732356857571587E-4</v>
      </c>
    </row>
    <row r="42" spans="1:20" s="9" customFormat="1">
      <c r="B42" s="10">
        <f>B39</f>
        <v>0.77217365259378934</v>
      </c>
      <c r="C42" s="10">
        <v>9.8000000000000007</v>
      </c>
      <c r="D42" s="23">
        <f>K34</f>
        <v>2.689244E-2</v>
      </c>
      <c r="E42" s="11">
        <v>6.3</v>
      </c>
      <c r="F42" s="10">
        <f>I34</f>
        <v>5.2499999999999998E-2</v>
      </c>
      <c r="G42" s="10">
        <f>F56</f>
        <v>200</v>
      </c>
      <c r="H42" s="10">
        <f>H56</f>
        <v>1</v>
      </c>
      <c r="I42" s="10">
        <f>((POWER(B42,2))/(2*C42))*((D42*((E42/F42)+F56)+H56))</f>
        <v>0.2922116429435565</v>
      </c>
      <c r="K42" s="10">
        <f>14.6951*I39/10331.9272</f>
        <v>0.6980214042961117</v>
      </c>
      <c r="L42" s="10">
        <v>14.696099999999999</v>
      </c>
      <c r="M42" s="29"/>
      <c r="O42" s="7" t="s">
        <v>10</v>
      </c>
      <c r="P42" s="7">
        <f>10.226/100</f>
        <v>0.10226</v>
      </c>
      <c r="Q42" s="7">
        <f t="shared" si="3"/>
        <v>8.2129861662710007E-3</v>
      </c>
      <c r="R42" s="7">
        <f t="shared" si="4"/>
        <v>0.33549868766372265</v>
      </c>
      <c r="S42" s="7">
        <v>1.4999999999999999E-4</v>
      </c>
      <c r="T42" s="7">
        <f t="shared" si="5"/>
        <v>4.470956385687807E-4</v>
      </c>
    </row>
    <row r="43" spans="1:20">
      <c r="K43" s="5" t="s">
        <v>61</v>
      </c>
      <c r="O43" s="7" t="s">
        <v>11</v>
      </c>
      <c r="P43" s="8">
        <f>12.819/100</f>
        <v>0.12819</v>
      </c>
      <c r="Q43" s="8">
        <f t="shared" si="3"/>
        <v>1.2906182727249749E-2</v>
      </c>
      <c r="R43" s="7">
        <f t="shared" si="4"/>
        <v>0.42057086614133193</v>
      </c>
      <c r="S43" s="7">
        <v>1.4999999999999999E-4</v>
      </c>
      <c r="T43" s="8">
        <f t="shared" si="5"/>
        <v>3.5665808565444668E-4</v>
      </c>
    </row>
    <row r="44" spans="1:20">
      <c r="C44" s="19" t="s">
        <v>20</v>
      </c>
      <c r="D44" s="20"/>
      <c r="E44" s="20"/>
      <c r="F44" s="20"/>
      <c r="G44" s="20"/>
      <c r="H44" s="21"/>
      <c r="K44" s="4">
        <f>L42+K42</f>
        <v>15.394121404296111</v>
      </c>
      <c r="O44" s="7" t="s">
        <v>12</v>
      </c>
      <c r="P44" s="8">
        <f>15.405/100</f>
        <v>0.15404999999999999</v>
      </c>
      <c r="Q44" s="8">
        <f t="shared" si="3"/>
        <v>1.8638584194993747E-2</v>
      </c>
      <c r="R44" s="7">
        <f t="shared" si="4"/>
        <v>0.50541338582629047</v>
      </c>
      <c r="S44" s="7">
        <v>1.4999999999999999E-4</v>
      </c>
      <c r="T44" s="8">
        <f t="shared" si="5"/>
        <v>2.9678675754653375E-4</v>
      </c>
    </row>
    <row r="45" spans="1:20">
      <c r="C45" s="1" t="s">
        <v>21</v>
      </c>
      <c r="D45" s="1" t="s">
        <v>22</v>
      </c>
      <c r="E45" s="1" t="s">
        <v>23</v>
      </c>
      <c r="F45" s="1"/>
      <c r="G45" s="1" t="s">
        <v>24</v>
      </c>
      <c r="H45" s="1"/>
    </row>
    <row r="46" spans="1:20">
      <c r="C46" s="25" t="s">
        <v>25</v>
      </c>
      <c r="D46" s="2">
        <v>2</v>
      </c>
      <c r="E46" s="2">
        <v>30</v>
      </c>
      <c r="F46" s="2">
        <f>(D46*E46)</f>
        <v>60</v>
      </c>
      <c r="G46" s="2"/>
      <c r="H46" s="2"/>
    </row>
    <row r="47" spans="1:20">
      <c r="C47" s="25" t="s">
        <v>26</v>
      </c>
      <c r="D47" s="2">
        <v>0</v>
      </c>
      <c r="E47" s="2">
        <v>20</v>
      </c>
      <c r="F47" s="2">
        <f>(D47*E47)</f>
        <v>0</v>
      </c>
      <c r="G47" s="2"/>
      <c r="H47" s="2"/>
      <c r="P47" s="30"/>
      <c r="Q47" s="30"/>
      <c r="R47" s="30"/>
      <c r="S47" s="30"/>
    </row>
    <row r="48" spans="1:20">
      <c r="C48" s="25" t="s">
        <v>27</v>
      </c>
      <c r="D48" s="2">
        <v>0</v>
      </c>
      <c r="E48" s="2">
        <v>60</v>
      </c>
      <c r="F48" s="2">
        <f>(D48*E48)</f>
        <v>0</v>
      </c>
      <c r="G48" s="2"/>
      <c r="H48" s="2"/>
      <c r="P48" s="30"/>
      <c r="Q48" s="30"/>
      <c r="R48" s="30"/>
      <c r="S48" s="30"/>
    </row>
    <row r="49" spans="1:20">
      <c r="C49" s="25" t="s">
        <v>50</v>
      </c>
      <c r="D49" s="2">
        <v>0</v>
      </c>
      <c r="E49" s="2"/>
      <c r="F49" s="2"/>
      <c r="G49" s="2">
        <v>0.78</v>
      </c>
      <c r="H49" s="2">
        <f>D49*G49</f>
        <v>0</v>
      </c>
      <c r="Q49" t="s">
        <v>49</v>
      </c>
    </row>
    <row r="50" spans="1:20">
      <c r="C50" s="25" t="s">
        <v>51</v>
      </c>
      <c r="D50" s="2">
        <v>1</v>
      </c>
      <c r="E50" s="2"/>
      <c r="F50" s="2"/>
      <c r="G50" s="2">
        <v>1</v>
      </c>
      <c r="H50" s="2">
        <f>G50*D50</f>
        <v>1</v>
      </c>
    </row>
    <row r="51" spans="1:20">
      <c r="C51" s="25" t="s">
        <v>28</v>
      </c>
      <c r="D51" s="2">
        <v>0</v>
      </c>
      <c r="E51" s="2"/>
      <c r="F51" s="2"/>
      <c r="G51" s="2"/>
      <c r="H51" s="2"/>
    </row>
    <row r="52" spans="1:20">
      <c r="C52" s="25" t="s">
        <v>29</v>
      </c>
      <c r="D52" s="2">
        <v>0</v>
      </c>
      <c r="E52" s="2"/>
      <c r="F52" s="2"/>
      <c r="G52" s="2">
        <v>0.04</v>
      </c>
      <c r="H52" s="2">
        <f>(D52*G52)</f>
        <v>0</v>
      </c>
    </row>
    <row r="53" spans="1:20">
      <c r="C53" s="25" t="s">
        <v>30</v>
      </c>
      <c r="D53" s="2">
        <v>0</v>
      </c>
      <c r="E53" s="2">
        <v>13</v>
      </c>
      <c r="F53" s="2">
        <f>(D53*E53)</f>
        <v>0</v>
      </c>
      <c r="G53" s="2"/>
      <c r="H53" s="2"/>
    </row>
    <row r="54" spans="1:20">
      <c r="C54" s="25" t="s">
        <v>31</v>
      </c>
      <c r="D54" s="2">
        <v>0</v>
      </c>
      <c r="E54" s="2">
        <v>450</v>
      </c>
      <c r="F54" s="2">
        <f>(D54*E54)</f>
        <v>0</v>
      </c>
      <c r="G54" s="2"/>
      <c r="H54" s="2"/>
    </row>
    <row r="55" spans="1:20">
      <c r="C55" s="24" t="s">
        <v>74</v>
      </c>
      <c r="D55" s="2">
        <v>1</v>
      </c>
      <c r="E55" s="2">
        <v>140</v>
      </c>
      <c r="F55" s="2">
        <f>(D55*E55)</f>
        <v>140</v>
      </c>
      <c r="G55" s="2"/>
      <c r="H55" s="2"/>
    </row>
    <row r="56" spans="1:20">
      <c r="C56" s="25" t="s">
        <v>52</v>
      </c>
      <c r="D56" s="2"/>
      <c r="E56" s="2"/>
      <c r="F56" s="2">
        <f>SUM(F46:F55)</f>
        <v>200</v>
      </c>
      <c r="G56" s="2"/>
      <c r="H56" s="2">
        <f>SUM(H46:H55)</f>
        <v>1</v>
      </c>
    </row>
    <row r="57" spans="1:20" s="14" customFormat="1">
      <c r="A57" s="14" t="s">
        <v>59</v>
      </c>
      <c r="C57" s="12"/>
      <c r="D57" s="12"/>
      <c r="E57" s="12"/>
      <c r="F57" s="12"/>
      <c r="G57" s="12"/>
      <c r="H57" s="12"/>
    </row>
    <row r="58" spans="1:20">
      <c r="C58" s="13"/>
      <c r="D58" s="13"/>
      <c r="E58" s="13"/>
      <c r="F58" s="6"/>
      <c r="G58" s="39">
        <v>0.89400000000000002</v>
      </c>
    </row>
    <row r="60" spans="1:20" s="9" customFormat="1">
      <c r="A60" s="5"/>
      <c r="B60" s="5" t="s">
        <v>0</v>
      </c>
      <c r="C60" s="5"/>
      <c r="D60" s="5" t="s">
        <v>1</v>
      </c>
      <c r="E60" s="5"/>
      <c r="F60" s="37" t="s">
        <v>2</v>
      </c>
      <c r="G60" s="5"/>
      <c r="H60" s="5" t="s">
        <v>15</v>
      </c>
      <c r="I60" s="5" t="s">
        <v>6</v>
      </c>
      <c r="J60" s="5" t="s">
        <v>14</v>
      </c>
      <c r="K60" s="5" t="s">
        <v>16</v>
      </c>
      <c r="L60" s="5" t="s">
        <v>53</v>
      </c>
      <c r="M60" s="36" t="s">
        <v>54</v>
      </c>
      <c r="O60" s="35"/>
      <c r="P60" s="17" t="s">
        <v>4</v>
      </c>
      <c r="Q60" s="17"/>
      <c r="R60" s="17"/>
      <c r="S60" s="17"/>
      <c r="T60" s="18"/>
    </row>
    <row r="61" spans="1:20" s="9" customFormat="1">
      <c r="A61" s="10">
        <f>C61*0.0624279605761</f>
        <v>62.245046651612029</v>
      </c>
      <c r="B61" s="11">
        <v>50</v>
      </c>
      <c r="C61" s="11">
        <v>997.07</v>
      </c>
      <c r="D61" s="11">
        <v>1</v>
      </c>
      <c r="E61" s="10">
        <f>B61/D61</f>
        <v>50</v>
      </c>
      <c r="F61" s="10">
        <f>E61/C61</f>
        <v>5.0146930506383705E-2</v>
      </c>
      <c r="G61" s="10">
        <f>0.001*G58</f>
        <v>8.9400000000000005E-4</v>
      </c>
      <c r="H61" s="10">
        <f>F61/(60*M61)</f>
        <v>0.38608682629689467</v>
      </c>
      <c r="I61" s="11">
        <f>P65</f>
        <v>5.2499999999999998E-2</v>
      </c>
      <c r="J61" s="10">
        <f>(I61*H61*C61)/G61</f>
        <v>22606.452544219068</v>
      </c>
      <c r="K61" s="38">
        <f>0.029863</f>
        <v>2.9863000000000001E-2</v>
      </c>
      <c r="L61" s="10">
        <f>F61*264.172052358</f>
        <v>13.247417551325382</v>
      </c>
      <c r="M61" s="11">
        <f>Q65</f>
        <v>2.1647518593749995E-3</v>
      </c>
      <c r="O61" s="1" t="s">
        <v>5</v>
      </c>
      <c r="P61" s="1" t="s">
        <v>6</v>
      </c>
      <c r="Q61" s="1"/>
      <c r="R61" s="1"/>
      <c r="S61" s="1" t="s">
        <v>13</v>
      </c>
      <c r="T61" s="1" t="s">
        <v>7</v>
      </c>
    </row>
    <row r="62" spans="1:20" s="9" customFormat="1">
      <c r="M62" s="31"/>
      <c r="O62" s="7">
        <v>1</v>
      </c>
      <c r="P62" s="7">
        <v>2.6599999999999999E-2</v>
      </c>
      <c r="Q62" s="7">
        <f>(POWER(P62,2)*3.14159/4)</f>
        <v>5.5571585509999995E-4</v>
      </c>
      <c r="R62" s="7">
        <f>3.28083989501*P62</f>
        <v>8.7270341207265997E-2</v>
      </c>
      <c r="S62" s="7">
        <v>1.4999999999999999E-4</v>
      </c>
      <c r="T62" s="7">
        <f>S62/R62</f>
        <v>1.7187969924828393E-3</v>
      </c>
    </row>
    <row r="63" spans="1:20" s="9" customFormat="1">
      <c r="B63" s="9" t="s">
        <v>17</v>
      </c>
      <c r="M63" s="31"/>
      <c r="O63" s="7"/>
      <c r="P63" s="7">
        <v>3.5099999999999999E-2</v>
      </c>
      <c r="Q63" s="7">
        <f t="shared" ref="Q63:Q71" si="6">(POWER(P63,2)*3.14159/4)</f>
        <v>9.6761757397499995E-4</v>
      </c>
      <c r="R63" s="7">
        <f t="shared" ref="R63:R71" si="7">3.28083989501*P63</f>
        <v>0.115157480314851</v>
      </c>
      <c r="S63" s="7">
        <v>1.4999999999999999E-4</v>
      </c>
      <c r="T63" s="7">
        <f t="shared" ref="T63:T71" si="8">S63/R63</f>
        <v>1.3025641025653425E-3</v>
      </c>
    </row>
    <row r="64" spans="1:20" s="9" customFormat="1">
      <c r="M64" s="31"/>
      <c r="O64" s="7"/>
      <c r="P64" s="7">
        <v>4.0899999999999999E-2</v>
      </c>
      <c r="Q64" s="7">
        <f t="shared" si="6"/>
        <v>1.3138207919749997E-3</v>
      </c>
      <c r="R64" s="7">
        <f t="shared" si="7"/>
        <v>0.13418635170590901</v>
      </c>
      <c r="S64" s="7">
        <v>1.4999999999999999E-4</v>
      </c>
      <c r="T64" s="7">
        <f t="shared" si="8"/>
        <v>1.1178484107590102E-3</v>
      </c>
    </row>
    <row r="65" spans="2:20" s="9" customFormat="1">
      <c r="B65" s="5" t="s">
        <v>82</v>
      </c>
      <c r="C65" s="5" t="s">
        <v>88</v>
      </c>
      <c r="D65" s="5" t="s">
        <v>84</v>
      </c>
      <c r="E65" s="5" t="s">
        <v>89</v>
      </c>
      <c r="F65" s="5" t="s">
        <v>18</v>
      </c>
      <c r="G65" s="5" t="s">
        <v>19</v>
      </c>
      <c r="H65" s="5"/>
      <c r="I65" s="5" t="s">
        <v>86</v>
      </c>
      <c r="J65" s="46" t="s">
        <v>90</v>
      </c>
      <c r="K65" s="48"/>
      <c r="L65" s="30"/>
      <c r="M65" s="30"/>
      <c r="O65" s="7" t="s">
        <v>8</v>
      </c>
      <c r="P65" s="7">
        <f>5.25/100</f>
        <v>5.2499999999999998E-2</v>
      </c>
      <c r="Q65" s="7">
        <f t="shared" si="6"/>
        <v>2.1647518593749995E-3</v>
      </c>
      <c r="R65" s="7">
        <f t="shared" si="7"/>
        <v>0.172244094488025</v>
      </c>
      <c r="S65" s="7">
        <v>1.4999999999999999E-4</v>
      </c>
      <c r="T65" s="7">
        <f t="shared" si="8"/>
        <v>8.7085714285797182E-4</v>
      </c>
    </row>
    <row r="66" spans="2:20" s="9" customFormat="1">
      <c r="B66" s="10">
        <f>C66</f>
        <v>0.38608682629689467</v>
      </c>
      <c r="C66" s="11">
        <f>H61</f>
        <v>0.38608682629689467</v>
      </c>
      <c r="D66" s="11">
        <v>0</v>
      </c>
      <c r="E66" s="11">
        <v>0.7</v>
      </c>
      <c r="F66" s="10">
        <f>I69</f>
        <v>3.9866514252120726E-2</v>
      </c>
      <c r="G66" s="10">
        <v>9.8000000000000007</v>
      </c>
      <c r="H66" s="10">
        <f>C61</f>
        <v>997.07</v>
      </c>
      <c r="I66" s="10">
        <f>((J66/H66)+E66+F66-D66+ ((POWER(C66,2)-POWER(B66,2))/(2*G66)))*H66</f>
        <v>737.698705365362</v>
      </c>
      <c r="J66" s="47">
        <v>0</v>
      </c>
      <c r="K66" s="48"/>
      <c r="L66" s="30"/>
      <c r="M66" s="30"/>
      <c r="O66" s="7"/>
      <c r="P66" s="7">
        <f>6.271/100</f>
        <v>6.2710000000000002E-2</v>
      </c>
      <c r="Q66" s="7">
        <f t="shared" si="6"/>
        <v>3.0886103047797499E-3</v>
      </c>
      <c r="R66" s="7">
        <f t="shared" si="7"/>
        <v>0.2057414698160771</v>
      </c>
      <c r="S66" s="7">
        <v>1.4999999999999999E-4</v>
      </c>
      <c r="T66" s="7">
        <f t="shared" si="8"/>
        <v>7.2907032371302054E-4</v>
      </c>
    </row>
    <row r="67" spans="2:20" s="9" customFormat="1">
      <c r="M67" s="31"/>
      <c r="O67" s="7" t="s">
        <v>9</v>
      </c>
      <c r="P67" s="7">
        <f>7.793/100</f>
        <v>7.7929999999999999E-2</v>
      </c>
      <c r="Q67" s="7">
        <f t="shared" si="6"/>
        <v>4.7697856977477497E-3</v>
      </c>
      <c r="R67" s="7">
        <f t="shared" si="7"/>
        <v>0.25567585301812928</v>
      </c>
      <c r="S67" s="7">
        <v>1.4999999999999999E-4</v>
      </c>
      <c r="T67" s="7">
        <f t="shared" si="8"/>
        <v>5.8668035416455187E-4</v>
      </c>
    </row>
    <row r="68" spans="2:20" s="9" customFormat="1">
      <c r="B68" s="5" t="s">
        <v>33</v>
      </c>
      <c r="C68" s="5" t="s">
        <v>19</v>
      </c>
      <c r="D68" s="5" t="s">
        <v>16</v>
      </c>
      <c r="E68" s="5" t="s">
        <v>34</v>
      </c>
      <c r="F68" s="5" t="s">
        <v>6</v>
      </c>
      <c r="G68" s="5" t="s">
        <v>35</v>
      </c>
      <c r="H68" s="5" t="s">
        <v>24</v>
      </c>
      <c r="I68" s="5" t="s">
        <v>36</v>
      </c>
      <c r="K68" s="5" t="s">
        <v>45</v>
      </c>
      <c r="L68" s="5" t="s">
        <v>47</v>
      </c>
      <c r="M68" s="30"/>
      <c r="O68" s="7"/>
      <c r="P68" s="7">
        <f>9.012/100</f>
        <v>9.0120000000000006E-2</v>
      </c>
      <c r="Q68" s="7">
        <f t="shared" si="6"/>
        <v>6.3786956457240005E-3</v>
      </c>
      <c r="R68" s="7">
        <f t="shared" si="7"/>
        <v>0.29566929133830122</v>
      </c>
      <c r="S68" s="7">
        <v>1.4999999999999999E-4</v>
      </c>
      <c r="T68" s="7">
        <f t="shared" si="8"/>
        <v>5.0732356857571587E-4</v>
      </c>
    </row>
    <row r="69" spans="2:20" s="9" customFormat="1">
      <c r="B69" s="10">
        <f>H61</f>
        <v>0.38608682629689467</v>
      </c>
      <c r="C69" s="10">
        <v>9.8000000000000007</v>
      </c>
      <c r="D69" s="40">
        <f>K61</f>
        <v>2.9863000000000001E-2</v>
      </c>
      <c r="E69" s="11">
        <v>5.2</v>
      </c>
      <c r="F69" s="10">
        <f>I61</f>
        <v>5.2499999999999998E-2</v>
      </c>
      <c r="G69" s="10">
        <f>F83</f>
        <v>43</v>
      </c>
      <c r="H69" s="10">
        <f>H83</f>
        <v>1</v>
      </c>
      <c r="I69" s="10">
        <f>((POWER(B69,2))/(2*C69))*((D69*((E69/F69)+F83)+H83))</f>
        <v>3.9866514252120726E-2</v>
      </c>
      <c r="K69" s="10">
        <f>I66*14.6951/10331.9272</f>
        <v>1.0492288646027752</v>
      </c>
      <c r="L69" s="10">
        <v>14.696099999999999</v>
      </c>
      <c r="M69" s="29"/>
      <c r="O69" s="7" t="s">
        <v>10</v>
      </c>
      <c r="P69" s="7">
        <f>10.226/100</f>
        <v>0.10226</v>
      </c>
      <c r="Q69" s="7">
        <f t="shared" si="6"/>
        <v>8.2129861662710007E-3</v>
      </c>
      <c r="R69" s="7">
        <f t="shared" si="7"/>
        <v>0.33549868766372265</v>
      </c>
      <c r="S69" s="7">
        <v>1.4999999999999999E-4</v>
      </c>
      <c r="T69" s="7">
        <f t="shared" si="8"/>
        <v>4.470956385687807E-4</v>
      </c>
    </row>
    <row r="70" spans="2:20">
      <c r="K70" s="5" t="s">
        <v>62</v>
      </c>
      <c r="O70" s="7" t="s">
        <v>11</v>
      </c>
      <c r="P70" s="8">
        <f>12.819/100</f>
        <v>0.12819</v>
      </c>
      <c r="Q70" s="8">
        <f t="shared" si="6"/>
        <v>1.2906182727249749E-2</v>
      </c>
      <c r="R70" s="7">
        <f t="shared" si="7"/>
        <v>0.42057086614133193</v>
      </c>
      <c r="S70" s="7">
        <v>1.4999999999999999E-4</v>
      </c>
      <c r="T70" s="8">
        <f t="shared" si="8"/>
        <v>3.5665808565444668E-4</v>
      </c>
    </row>
    <row r="71" spans="2:20">
      <c r="C71" s="32" t="s">
        <v>20</v>
      </c>
      <c r="D71" s="33"/>
      <c r="E71" s="33"/>
      <c r="F71" s="33"/>
      <c r="G71" s="33"/>
      <c r="H71" s="34"/>
      <c r="K71" s="4">
        <f>L69+K69</f>
        <v>15.745328864602774</v>
      </c>
      <c r="O71" s="7" t="s">
        <v>12</v>
      </c>
      <c r="P71" s="8">
        <f>15.405/100</f>
        <v>0.15404999999999999</v>
      </c>
      <c r="Q71" s="8">
        <f t="shared" si="6"/>
        <v>1.8638584194993747E-2</v>
      </c>
      <c r="R71" s="7">
        <f t="shared" si="7"/>
        <v>0.50541338582629047</v>
      </c>
      <c r="S71" s="7">
        <v>1.4999999999999999E-4</v>
      </c>
      <c r="T71" s="8">
        <f t="shared" si="8"/>
        <v>2.9678675754653375E-4</v>
      </c>
    </row>
    <row r="72" spans="2:20" s="9" customFormat="1">
      <c r="C72" s="3" t="s">
        <v>21</v>
      </c>
      <c r="D72" s="3" t="s">
        <v>22</v>
      </c>
      <c r="E72" s="3" t="s">
        <v>23</v>
      </c>
      <c r="F72" s="3"/>
      <c r="G72" s="3" t="s">
        <v>24</v>
      </c>
      <c r="H72" s="3"/>
    </row>
    <row r="73" spans="2:20" s="9" customFormat="1">
      <c r="C73" s="24" t="s">
        <v>25</v>
      </c>
      <c r="D73" s="2">
        <v>1</v>
      </c>
      <c r="E73" s="2">
        <v>30</v>
      </c>
      <c r="F73" s="2">
        <f>(D73*E73)</f>
        <v>30</v>
      </c>
      <c r="G73" s="2"/>
      <c r="H73" s="2"/>
    </row>
    <row r="74" spans="2:20" s="9" customFormat="1">
      <c r="C74" s="24" t="s">
        <v>26</v>
      </c>
      <c r="D74" s="2">
        <v>0</v>
      </c>
      <c r="E74" s="2">
        <v>20</v>
      </c>
      <c r="F74" s="2">
        <f>(D74*E74)</f>
        <v>0</v>
      </c>
      <c r="G74" s="2"/>
      <c r="H74" s="2"/>
      <c r="O74" s="29"/>
      <c r="P74" s="30"/>
      <c r="Q74" s="30"/>
      <c r="R74" s="30"/>
      <c r="S74" s="30"/>
    </row>
    <row r="75" spans="2:20" s="9" customFormat="1">
      <c r="C75" s="24" t="s">
        <v>27</v>
      </c>
      <c r="D75" s="2">
        <v>0</v>
      </c>
      <c r="E75" s="2">
        <v>60</v>
      </c>
      <c r="F75" s="2">
        <f>(D75*E75)</f>
        <v>0</v>
      </c>
      <c r="G75" s="2"/>
      <c r="H75" s="2"/>
      <c r="O75" s="29"/>
      <c r="P75" s="30"/>
      <c r="Q75" s="30"/>
      <c r="R75" s="30"/>
      <c r="S75" s="30"/>
    </row>
    <row r="76" spans="2:20" s="9" customFormat="1">
      <c r="C76" s="24" t="s">
        <v>50</v>
      </c>
      <c r="D76" s="2">
        <v>0</v>
      </c>
      <c r="E76" s="2"/>
      <c r="F76" s="2">
        <f>(D76*E76)</f>
        <v>0</v>
      </c>
      <c r="G76" s="2">
        <v>0.78</v>
      </c>
      <c r="H76" s="2">
        <f>G76*D76</f>
        <v>0</v>
      </c>
    </row>
    <row r="77" spans="2:20" s="9" customFormat="1">
      <c r="C77" s="24" t="s">
        <v>51</v>
      </c>
      <c r="D77" s="2">
        <v>1</v>
      </c>
      <c r="E77" s="2"/>
      <c r="F77" s="2">
        <f>(D77*E77)</f>
        <v>0</v>
      </c>
      <c r="G77" s="2">
        <v>1</v>
      </c>
      <c r="H77" s="2">
        <f>G77*D77</f>
        <v>1</v>
      </c>
    </row>
    <row r="78" spans="2:20" s="9" customFormat="1">
      <c r="C78" s="24" t="s">
        <v>28</v>
      </c>
      <c r="D78" s="2">
        <v>0</v>
      </c>
      <c r="E78" s="2"/>
      <c r="F78" s="2"/>
      <c r="G78" s="2"/>
      <c r="H78" s="2"/>
    </row>
    <row r="79" spans="2:20" s="9" customFormat="1">
      <c r="C79" s="24" t="s">
        <v>29</v>
      </c>
      <c r="D79" s="2">
        <v>0</v>
      </c>
      <c r="E79" s="2"/>
      <c r="F79" s="2"/>
      <c r="G79" s="2">
        <v>0.04</v>
      </c>
      <c r="H79" s="2">
        <f>(D79*G79)</f>
        <v>0</v>
      </c>
    </row>
    <row r="80" spans="2:20" s="9" customFormat="1">
      <c r="C80" s="24" t="s">
        <v>30</v>
      </c>
      <c r="D80" s="2">
        <v>1</v>
      </c>
      <c r="E80" s="2">
        <v>13</v>
      </c>
      <c r="F80" s="2">
        <f>(D80*E80)</f>
        <v>13</v>
      </c>
      <c r="G80" s="2"/>
      <c r="H80" s="2"/>
    </row>
    <row r="81" spans="1:20" s="9" customFormat="1">
      <c r="C81" s="24" t="s">
        <v>31</v>
      </c>
      <c r="D81" s="2">
        <v>0</v>
      </c>
      <c r="E81" s="2">
        <v>340</v>
      </c>
      <c r="F81" s="2">
        <f>(D81*E81)</f>
        <v>0</v>
      </c>
      <c r="G81" s="2"/>
      <c r="H81" s="2"/>
    </row>
    <row r="82" spans="1:20" s="9" customFormat="1">
      <c r="C82" s="24" t="s">
        <v>73</v>
      </c>
      <c r="D82" s="2">
        <v>0</v>
      </c>
      <c r="E82" s="2">
        <v>140</v>
      </c>
      <c r="F82" s="2">
        <f>(D82*E82)</f>
        <v>0</v>
      </c>
      <c r="G82" s="2"/>
      <c r="H82" s="2"/>
    </row>
    <row r="83" spans="1:20" s="9" customFormat="1">
      <c r="C83" s="24" t="s">
        <v>52</v>
      </c>
      <c r="D83" s="2"/>
      <c r="E83" s="2"/>
      <c r="F83" s="2">
        <f>SUM(F73:F82)</f>
        <v>43</v>
      </c>
      <c r="G83" s="2"/>
      <c r="H83" s="2">
        <f>SUM(H73:H82)</f>
        <v>1</v>
      </c>
    </row>
    <row r="84" spans="1:20" s="14" customFormat="1">
      <c r="A84" s="14" t="s">
        <v>60</v>
      </c>
      <c r="C84" s="12"/>
      <c r="D84" s="12"/>
      <c r="E84" s="12"/>
      <c r="F84" s="12"/>
      <c r="G84" s="12"/>
      <c r="H84" s="12"/>
    </row>
    <row r="85" spans="1:20">
      <c r="C85" s="13"/>
      <c r="D85" s="13"/>
      <c r="E85" s="13"/>
      <c r="F85" s="6"/>
      <c r="G85" s="39">
        <v>0.89400000000000002</v>
      </c>
    </row>
    <row r="87" spans="1:20" s="9" customFormat="1">
      <c r="A87" s="5"/>
      <c r="B87" s="5" t="s">
        <v>0</v>
      </c>
      <c r="C87" s="5"/>
      <c r="D87" s="5" t="s">
        <v>1</v>
      </c>
      <c r="E87" s="5"/>
      <c r="F87" s="37" t="s">
        <v>2</v>
      </c>
      <c r="G87" s="5"/>
      <c r="H87" s="5" t="s">
        <v>15</v>
      </c>
      <c r="I87" s="5" t="s">
        <v>6</v>
      </c>
      <c r="J87" s="5" t="s">
        <v>14</v>
      </c>
      <c r="K87" s="5" t="s">
        <v>16</v>
      </c>
      <c r="L87" s="5" t="s">
        <v>53</v>
      </c>
      <c r="M87" s="36" t="s">
        <v>54</v>
      </c>
      <c r="O87" s="35"/>
      <c r="P87" s="17" t="s">
        <v>4</v>
      </c>
      <c r="Q87" s="17"/>
      <c r="R87" s="17"/>
      <c r="S87" s="17"/>
      <c r="T87" s="18"/>
    </row>
    <row r="88" spans="1:20" s="9" customFormat="1">
      <c r="A88" s="10">
        <f>C88*0.0624279605761</f>
        <v>62.245046651612029</v>
      </c>
      <c r="B88" s="11">
        <v>200</v>
      </c>
      <c r="C88" s="11">
        <v>997.07</v>
      </c>
      <c r="D88" s="11">
        <v>1</v>
      </c>
      <c r="E88" s="10">
        <f>B88/D88</f>
        <v>200</v>
      </c>
      <c r="F88" s="10">
        <f>E88/C88</f>
        <v>0.20058772202553482</v>
      </c>
      <c r="G88" s="10">
        <f>0.001*G85</f>
        <v>8.9400000000000005E-4</v>
      </c>
      <c r="H88" s="10">
        <f>F88/(60*M88)</f>
        <v>1.5443473051875787</v>
      </c>
      <c r="I88" s="11">
        <f>P92</f>
        <v>5.2499999999999998E-2</v>
      </c>
      <c r="J88" s="10">
        <f>(I88*H88*C88)/G88</f>
        <v>90425.810176876272</v>
      </c>
      <c r="K88" s="38">
        <v>0.02</v>
      </c>
      <c r="L88" s="10">
        <f>F88*264.172052358</f>
        <v>52.989670205301529</v>
      </c>
      <c r="M88" s="11">
        <f>Q92</f>
        <v>2.1647518593749995E-3</v>
      </c>
      <c r="O88" s="1" t="s">
        <v>5</v>
      </c>
      <c r="P88" s="1" t="s">
        <v>6</v>
      </c>
      <c r="Q88" s="1"/>
      <c r="R88" s="1"/>
      <c r="S88" s="1" t="s">
        <v>13</v>
      </c>
      <c r="T88" s="1" t="s">
        <v>7</v>
      </c>
    </row>
    <row r="89" spans="1:20" s="9" customFormat="1">
      <c r="M89" s="31"/>
      <c r="O89" s="7">
        <v>1</v>
      </c>
      <c r="P89" s="7">
        <v>2.6599999999999999E-2</v>
      </c>
      <c r="Q89" s="7">
        <f>(POWER(P89,2)*3.14159/4)</f>
        <v>5.5571585509999995E-4</v>
      </c>
      <c r="R89" s="7">
        <f>3.28083989501*P89</f>
        <v>8.7270341207265997E-2</v>
      </c>
      <c r="S89" s="7">
        <v>1.4999999999999999E-4</v>
      </c>
      <c r="T89" s="7">
        <f>S89/R89</f>
        <v>1.7187969924828393E-3</v>
      </c>
    </row>
    <row r="90" spans="1:20" s="9" customFormat="1">
      <c r="B90" s="9" t="s">
        <v>17</v>
      </c>
      <c r="M90" s="31"/>
      <c r="O90" s="7"/>
      <c r="P90" s="7">
        <v>3.5099999999999999E-2</v>
      </c>
      <c r="Q90" s="7">
        <f t="shared" ref="Q90:Q98" si="9">(POWER(P90,2)*3.14159/4)</f>
        <v>9.6761757397499995E-4</v>
      </c>
      <c r="R90" s="7">
        <f t="shared" ref="R90:R98" si="10">3.28083989501*P90</f>
        <v>0.115157480314851</v>
      </c>
      <c r="S90" s="7">
        <v>1.4999999999999999E-4</v>
      </c>
      <c r="T90" s="7">
        <f t="shared" ref="T90:T98" si="11">S90/R90</f>
        <v>1.3025641025653425E-3</v>
      </c>
    </row>
    <row r="91" spans="1:20" s="9" customFormat="1">
      <c r="M91" s="31"/>
      <c r="O91" s="7"/>
      <c r="P91" s="7">
        <v>4.0899999999999999E-2</v>
      </c>
      <c r="Q91" s="7">
        <f t="shared" si="9"/>
        <v>1.3138207919749997E-3</v>
      </c>
      <c r="R91" s="7">
        <f t="shared" si="10"/>
        <v>0.13418635170590901</v>
      </c>
      <c r="S91" s="7">
        <v>1.4999999999999999E-4</v>
      </c>
      <c r="T91" s="7">
        <f t="shared" si="11"/>
        <v>1.1178484107590102E-3</v>
      </c>
    </row>
    <row r="92" spans="1:20" s="9" customFormat="1">
      <c r="B92" s="5" t="s">
        <v>91</v>
      </c>
      <c r="C92" s="5" t="s">
        <v>92</v>
      </c>
      <c r="D92" s="5" t="s">
        <v>93</v>
      </c>
      <c r="E92" s="5" t="s">
        <v>94</v>
      </c>
      <c r="F92" s="5" t="s">
        <v>18</v>
      </c>
      <c r="G92" s="5" t="s">
        <v>19</v>
      </c>
      <c r="H92" s="5"/>
      <c r="I92" s="5" t="s">
        <v>95</v>
      </c>
      <c r="J92" s="46" t="s">
        <v>96</v>
      </c>
      <c r="K92" s="48"/>
      <c r="L92" s="30"/>
      <c r="M92" s="30"/>
      <c r="O92" s="7" t="s">
        <v>8</v>
      </c>
      <c r="P92" s="7">
        <f>5.25/100</f>
        <v>5.2499999999999998E-2</v>
      </c>
      <c r="Q92" s="7">
        <f t="shared" si="9"/>
        <v>2.1647518593749995E-3</v>
      </c>
      <c r="R92" s="7">
        <f t="shared" si="10"/>
        <v>0.172244094488025</v>
      </c>
      <c r="S92" s="7">
        <v>1.4999999999999999E-4</v>
      </c>
      <c r="T92" s="7">
        <f t="shared" si="11"/>
        <v>8.7085714285797182E-4</v>
      </c>
    </row>
    <row r="93" spans="1:20" s="9" customFormat="1">
      <c r="B93" s="11">
        <f>G88</f>
        <v>8.9400000000000005E-4</v>
      </c>
      <c r="C93" s="11">
        <v>0</v>
      </c>
      <c r="D93" s="11">
        <v>0</v>
      </c>
      <c r="E93" s="11">
        <v>0.1</v>
      </c>
      <c r="F93" s="10">
        <f>I96</f>
        <v>1.4810694798704049</v>
      </c>
      <c r="G93" s="10">
        <v>9.8000000000000007</v>
      </c>
      <c r="H93" s="10">
        <f>C88</f>
        <v>997.07</v>
      </c>
      <c r="I93" s="10">
        <f>((J93/H93)+E93+F93-D93+ ((POWER(C93,2)-POWER(B93,2))/(2*G93)))*H93</f>
        <v>1576.4369056365156</v>
      </c>
      <c r="J93" s="47">
        <v>0</v>
      </c>
      <c r="K93" s="48"/>
      <c r="L93" s="30"/>
      <c r="M93" s="30"/>
      <c r="O93" s="7"/>
      <c r="P93" s="7">
        <f>6.271/100</f>
        <v>6.2710000000000002E-2</v>
      </c>
      <c r="Q93" s="7">
        <f t="shared" si="9"/>
        <v>3.0886103047797499E-3</v>
      </c>
      <c r="R93" s="7">
        <f t="shared" si="10"/>
        <v>0.2057414698160771</v>
      </c>
      <c r="S93" s="7">
        <v>1.4999999999999999E-4</v>
      </c>
      <c r="T93" s="7">
        <f t="shared" si="11"/>
        <v>7.2907032371302054E-4</v>
      </c>
    </row>
    <row r="94" spans="1:20" s="9" customFormat="1">
      <c r="M94" s="31"/>
      <c r="O94" s="7" t="s">
        <v>9</v>
      </c>
      <c r="P94" s="7">
        <f>7.793/100</f>
        <v>7.7929999999999999E-2</v>
      </c>
      <c r="Q94" s="7">
        <f t="shared" si="9"/>
        <v>4.7697856977477497E-3</v>
      </c>
      <c r="R94" s="7">
        <f t="shared" si="10"/>
        <v>0.25567585301812928</v>
      </c>
      <c r="S94" s="7">
        <v>1.4999999999999999E-4</v>
      </c>
      <c r="T94" s="7">
        <f t="shared" si="11"/>
        <v>5.8668035416455187E-4</v>
      </c>
    </row>
    <row r="95" spans="1:20" s="9" customFormat="1">
      <c r="B95" s="5" t="s">
        <v>33</v>
      </c>
      <c r="C95" s="5" t="s">
        <v>19</v>
      </c>
      <c r="D95" s="5" t="s">
        <v>16</v>
      </c>
      <c r="E95" s="5" t="s">
        <v>34</v>
      </c>
      <c r="F95" s="5" t="s">
        <v>6</v>
      </c>
      <c r="G95" s="5" t="s">
        <v>35</v>
      </c>
      <c r="H95" s="5" t="s">
        <v>24</v>
      </c>
      <c r="I95" s="5" t="s">
        <v>36</v>
      </c>
      <c r="K95" s="5" t="s">
        <v>45</v>
      </c>
      <c r="L95" s="5" t="s">
        <v>47</v>
      </c>
      <c r="M95" s="30"/>
      <c r="O95" s="7"/>
      <c r="P95" s="7">
        <f>9.012/100</f>
        <v>9.0120000000000006E-2</v>
      </c>
      <c r="Q95" s="7">
        <f t="shared" si="9"/>
        <v>6.3786956457240005E-3</v>
      </c>
      <c r="R95" s="7">
        <f t="shared" si="10"/>
        <v>0.29566929133830122</v>
      </c>
      <c r="S95" s="7">
        <v>1.4999999999999999E-4</v>
      </c>
      <c r="T95" s="7">
        <f t="shared" si="11"/>
        <v>5.0732356857571587E-4</v>
      </c>
    </row>
    <row r="96" spans="1:20" s="9" customFormat="1">
      <c r="B96" s="10">
        <f>H88</f>
        <v>1.5443473051875787</v>
      </c>
      <c r="C96" s="10">
        <v>9.8000000000000007</v>
      </c>
      <c r="D96" s="40">
        <f>K88</f>
        <v>0.02</v>
      </c>
      <c r="E96" s="11">
        <v>14.1</v>
      </c>
      <c r="F96" s="10">
        <f>I88</f>
        <v>5.2499999999999998E-2</v>
      </c>
      <c r="G96" s="10">
        <f>F110</f>
        <v>340</v>
      </c>
      <c r="H96" s="10">
        <f>H110</f>
        <v>0</v>
      </c>
      <c r="I96" s="10">
        <f>((POWER(B96,2))/(2*C96))*((D96*((E96/F96)+F110)+H110))</f>
        <v>1.4810694798704049</v>
      </c>
      <c r="K96" s="10">
        <f>I93*14.6951/10331.9272</f>
        <v>2.242166202256938</v>
      </c>
      <c r="L96" s="10">
        <v>14.696099999999999</v>
      </c>
      <c r="M96" s="29"/>
      <c r="O96" s="7" t="s">
        <v>10</v>
      </c>
      <c r="P96" s="7">
        <f>10.226/100</f>
        <v>0.10226</v>
      </c>
      <c r="Q96" s="7">
        <f t="shared" si="9"/>
        <v>8.2129861662710007E-3</v>
      </c>
      <c r="R96" s="7">
        <f t="shared" si="10"/>
        <v>0.33549868766372265</v>
      </c>
      <c r="S96" s="7">
        <v>1.4999999999999999E-4</v>
      </c>
      <c r="T96" s="7">
        <f t="shared" si="11"/>
        <v>4.470956385687807E-4</v>
      </c>
    </row>
    <row r="97" spans="1:20">
      <c r="K97" s="5" t="s">
        <v>63</v>
      </c>
      <c r="O97" s="7" t="s">
        <v>11</v>
      </c>
      <c r="P97" s="8">
        <f>12.819/100</f>
        <v>0.12819</v>
      </c>
      <c r="Q97" s="8">
        <f t="shared" si="9"/>
        <v>1.2906182727249749E-2</v>
      </c>
      <c r="R97" s="7">
        <f t="shared" si="10"/>
        <v>0.42057086614133193</v>
      </c>
      <c r="S97" s="7">
        <v>1.4999999999999999E-4</v>
      </c>
      <c r="T97" s="8">
        <f t="shared" si="11"/>
        <v>3.5665808565444668E-4</v>
      </c>
    </row>
    <row r="98" spans="1:20">
      <c r="C98" s="32" t="s">
        <v>20</v>
      </c>
      <c r="D98" s="33"/>
      <c r="E98" s="33"/>
      <c r="F98" s="33"/>
      <c r="G98" s="33"/>
      <c r="H98" s="34"/>
      <c r="K98" s="4">
        <f>L96+K96</f>
        <v>16.938266202256937</v>
      </c>
      <c r="O98" s="7" t="s">
        <v>12</v>
      </c>
      <c r="P98" s="8">
        <f>15.405/100</f>
        <v>0.15404999999999999</v>
      </c>
      <c r="Q98" s="8">
        <f t="shared" si="9"/>
        <v>1.8638584194993747E-2</v>
      </c>
      <c r="R98" s="7">
        <f t="shared" si="10"/>
        <v>0.50541338582629047</v>
      </c>
      <c r="S98" s="7">
        <v>1.4999999999999999E-4</v>
      </c>
      <c r="T98" s="8">
        <f t="shared" si="11"/>
        <v>2.9678675754653375E-4</v>
      </c>
    </row>
    <row r="99" spans="1:20" s="9" customFormat="1">
      <c r="C99" s="3" t="s">
        <v>21</v>
      </c>
      <c r="D99" s="3" t="s">
        <v>22</v>
      </c>
      <c r="E99" s="3" t="s">
        <v>23</v>
      </c>
      <c r="F99" s="3"/>
      <c r="G99" s="3" t="s">
        <v>24</v>
      </c>
      <c r="H99" s="3"/>
    </row>
    <row r="100" spans="1:20" s="9" customFormat="1">
      <c r="C100" s="24" t="s">
        <v>25</v>
      </c>
      <c r="D100" s="2">
        <v>2</v>
      </c>
      <c r="E100" s="2">
        <v>30</v>
      </c>
      <c r="F100" s="2">
        <f>(D100*E100)</f>
        <v>60</v>
      </c>
      <c r="G100" s="2"/>
      <c r="H100" s="2"/>
    </row>
    <row r="101" spans="1:20" s="9" customFormat="1">
      <c r="C101" s="24" t="s">
        <v>26</v>
      </c>
      <c r="D101" s="2">
        <v>0</v>
      </c>
      <c r="E101" s="2">
        <v>20</v>
      </c>
      <c r="F101" s="2">
        <f>(D101*E101)</f>
        <v>0</v>
      </c>
      <c r="G101" s="2"/>
      <c r="H101" s="2"/>
      <c r="P101" s="30"/>
      <c r="Q101" s="30"/>
      <c r="R101" s="30"/>
      <c r="S101" s="30"/>
    </row>
    <row r="102" spans="1:20" s="9" customFormat="1">
      <c r="C102" s="24" t="s">
        <v>27</v>
      </c>
      <c r="D102" s="2">
        <v>0</v>
      </c>
      <c r="E102" s="2">
        <v>60</v>
      </c>
      <c r="F102" s="2">
        <f>(D102*E102)</f>
        <v>0</v>
      </c>
      <c r="G102" s="2"/>
      <c r="H102" s="2"/>
      <c r="P102" s="30"/>
      <c r="Q102" s="30"/>
      <c r="R102" s="30"/>
      <c r="S102" s="30"/>
    </row>
    <row r="103" spans="1:20" s="9" customFormat="1">
      <c r="C103" s="24" t="s">
        <v>50</v>
      </c>
      <c r="D103" s="2">
        <v>0</v>
      </c>
      <c r="E103" s="2"/>
      <c r="F103" s="2">
        <f>(D103*E103)</f>
        <v>0</v>
      </c>
      <c r="G103" s="2">
        <v>0.78</v>
      </c>
      <c r="H103" s="2">
        <f>G103*D103</f>
        <v>0</v>
      </c>
    </row>
    <row r="104" spans="1:20" s="9" customFormat="1">
      <c r="C104" s="24" t="s">
        <v>51</v>
      </c>
      <c r="D104" s="2">
        <v>0</v>
      </c>
      <c r="E104" s="2"/>
      <c r="F104" s="2">
        <f>(D104*E104)</f>
        <v>0</v>
      </c>
      <c r="G104" s="2">
        <v>1</v>
      </c>
      <c r="H104" s="2">
        <f>G104*D104</f>
        <v>0</v>
      </c>
    </row>
    <row r="105" spans="1:20" s="9" customFormat="1">
      <c r="C105" s="24" t="s">
        <v>28</v>
      </c>
      <c r="D105" s="2">
        <v>0</v>
      </c>
      <c r="E105" s="2"/>
      <c r="F105" s="2"/>
      <c r="G105" s="2"/>
      <c r="H105" s="2"/>
    </row>
    <row r="106" spans="1:20" s="9" customFormat="1">
      <c r="C106" s="24" t="s">
        <v>29</v>
      </c>
      <c r="D106" s="2">
        <v>0</v>
      </c>
      <c r="E106" s="2"/>
      <c r="F106" s="2"/>
      <c r="G106" s="2">
        <v>0.04</v>
      </c>
      <c r="H106" s="2">
        <f>(D106*G106)</f>
        <v>0</v>
      </c>
    </row>
    <row r="107" spans="1:20" s="9" customFormat="1">
      <c r="C107" s="24" t="s">
        <v>30</v>
      </c>
      <c r="D107" s="2">
        <v>0</v>
      </c>
      <c r="E107" s="2">
        <v>13</v>
      </c>
      <c r="F107" s="2">
        <f>(D107*E107)</f>
        <v>0</v>
      </c>
      <c r="G107" s="2"/>
      <c r="H107" s="2"/>
    </row>
    <row r="108" spans="1:20" s="9" customFormat="1">
      <c r="C108" s="24" t="s">
        <v>31</v>
      </c>
      <c r="D108" s="2">
        <v>0</v>
      </c>
      <c r="E108" s="2">
        <v>340</v>
      </c>
      <c r="F108" s="2">
        <f>(D108*E108)</f>
        <v>0</v>
      </c>
      <c r="G108" s="2"/>
      <c r="H108" s="2"/>
    </row>
    <row r="109" spans="1:20" s="9" customFormat="1">
      <c r="C109" s="24" t="s">
        <v>55</v>
      </c>
      <c r="D109" s="2">
        <v>2</v>
      </c>
      <c r="E109" s="2">
        <v>140</v>
      </c>
      <c r="F109" s="2">
        <f>(D109*E109)</f>
        <v>280</v>
      </c>
      <c r="G109" s="2"/>
      <c r="H109" s="2"/>
    </row>
    <row r="110" spans="1:20" s="9" customFormat="1">
      <c r="C110" s="24" t="s">
        <v>52</v>
      </c>
      <c r="D110" s="2"/>
      <c r="E110" s="2"/>
      <c r="F110" s="2">
        <f>SUM(F100:F109)</f>
        <v>340</v>
      </c>
      <c r="G110" s="2"/>
      <c r="H110" s="2">
        <f>SUM(H100:H109)</f>
        <v>0</v>
      </c>
    </row>
    <row r="111" spans="1:20" s="14" customFormat="1">
      <c r="A111" s="14" t="s">
        <v>97</v>
      </c>
      <c r="C111" s="12"/>
      <c r="D111" s="12"/>
      <c r="E111" s="12"/>
      <c r="F111" s="12"/>
      <c r="G111" s="12"/>
      <c r="H111" s="12"/>
    </row>
    <row r="112" spans="1:20">
      <c r="C112" s="13"/>
      <c r="D112" s="13"/>
      <c r="E112" s="13"/>
      <c r="F112" s="6"/>
      <c r="G112" s="39">
        <v>0.89400000000000002</v>
      </c>
    </row>
    <row r="114" spans="1:20" s="9" customFormat="1">
      <c r="A114" s="5"/>
      <c r="B114" s="5" t="s">
        <v>0</v>
      </c>
      <c r="C114" s="5"/>
      <c r="D114" s="5" t="s">
        <v>1</v>
      </c>
      <c r="E114" s="5"/>
      <c r="F114" s="37" t="s">
        <v>2</v>
      </c>
      <c r="G114" s="5"/>
      <c r="H114" s="5" t="s">
        <v>15</v>
      </c>
      <c r="I114" s="5" t="s">
        <v>6</v>
      </c>
      <c r="J114" s="5" t="s">
        <v>14</v>
      </c>
      <c r="K114" s="5" t="s">
        <v>16</v>
      </c>
      <c r="L114" s="5" t="s">
        <v>53</v>
      </c>
      <c r="M114" s="36" t="s">
        <v>54</v>
      </c>
      <c r="O114" s="35"/>
      <c r="P114" s="17" t="s">
        <v>4</v>
      </c>
      <c r="Q114" s="17"/>
      <c r="R114" s="17"/>
      <c r="S114" s="17"/>
      <c r="T114" s="18"/>
    </row>
    <row r="115" spans="1:20" s="9" customFormat="1">
      <c r="A115" s="10">
        <f>C115*0.0624279605761</f>
        <v>62.245046651612029</v>
      </c>
      <c r="B115" s="11">
        <v>350</v>
      </c>
      <c r="C115" s="11">
        <v>997.07</v>
      </c>
      <c r="D115" s="11">
        <v>1</v>
      </c>
      <c r="E115" s="10">
        <f>B115/D115</f>
        <v>350</v>
      </c>
      <c r="F115" s="10">
        <f>E115/C115</f>
        <v>0.35102851354468589</v>
      </c>
      <c r="G115" s="10">
        <f>0.001*G112</f>
        <v>8.9400000000000005E-4</v>
      </c>
      <c r="H115" s="10">
        <f>F115/(60*M115)</f>
        <v>2.7026077840782623</v>
      </c>
      <c r="I115" s="11">
        <f>P119</f>
        <v>5.2499999999999998E-2</v>
      </c>
      <c r="J115" s="10">
        <f>(I115*H115*C115)/G115</f>
        <v>158245.16780953348</v>
      </c>
      <c r="K115" s="38">
        <f>0.02319</f>
        <v>2.3189999999999999E-2</v>
      </c>
      <c r="L115" s="10">
        <f>F115*264.172052358</f>
        <v>92.73192285927766</v>
      </c>
      <c r="M115" s="11">
        <f>Q119</f>
        <v>2.1647518593749995E-3</v>
      </c>
      <c r="O115" s="1" t="s">
        <v>5</v>
      </c>
      <c r="P115" s="1" t="s">
        <v>6</v>
      </c>
      <c r="Q115" s="1"/>
      <c r="R115" s="1"/>
      <c r="S115" s="1" t="s">
        <v>13</v>
      </c>
      <c r="T115" s="1" t="s">
        <v>7</v>
      </c>
    </row>
    <row r="116" spans="1:20" s="9" customFormat="1">
      <c r="M116" s="31"/>
      <c r="O116" s="7">
        <v>1</v>
      </c>
      <c r="P116" s="7">
        <v>2.6599999999999999E-2</v>
      </c>
      <c r="Q116" s="7">
        <f>(POWER(P116,2)*3.14159/4)</f>
        <v>5.5571585509999995E-4</v>
      </c>
      <c r="R116" s="7">
        <f>3.28083989501*P116</f>
        <v>8.7270341207265997E-2</v>
      </c>
      <c r="S116" s="7">
        <v>1.4999999999999999E-4</v>
      </c>
      <c r="T116" s="7">
        <f>S116/R116</f>
        <v>1.7187969924828393E-3</v>
      </c>
    </row>
    <row r="117" spans="1:20" s="9" customFormat="1">
      <c r="B117" s="9" t="s">
        <v>17</v>
      </c>
      <c r="M117" s="31"/>
      <c r="O117" s="7"/>
      <c r="P117" s="7">
        <v>3.5099999999999999E-2</v>
      </c>
      <c r="Q117" s="7">
        <f t="shared" ref="Q117:Q125" si="12">(POWER(P117,2)*3.14159/4)</f>
        <v>9.6761757397499995E-4</v>
      </c>
      <c r="R117" s="7">
        <f t="shared" ref="R117:R125" si="13">3.28083989501*P117</f>
        <v>0.115157480314851</v>
      </c>
      <c r="S117" s="7">
        <v>1.4999999999999999E-4</v>
      </c>
      <c r="T117" s="7">
        <f t="shared" ref="T117:T125" si="14">S117/R117</f>
        <v>1.3025641025653425E-3</v>
      </c>
    </row>
    <row r="118" spans="1:20" s="9" customFormat="1">
      <c r="M118" s="31"/>
      <c r="O118" s="7"/>
      <c r="P118" s="7">
        <v>4.0899999999999999E-2</v>
      </c>
      <c r="Q118" s="7">
        <f t="shared" si="12"/>
        <v>1.3138207919749997E-3</v>
      </c>
      <c r="R118" s="7">
        <f t="shared" si="13"/>
        <v>0.13418635170590901</v>
      </c>
      <c r="S118" s="7">
        <v>1.4999999999999999E-4</v>
      </c>
      <c r="T118" s="7">
        <f t="shared" si="14"/>
        <v>1.1178484107590102E-3</v>
      </c>
    </row>
    <row r="119" spans="1:20" s="9" customFormat="1">
      <c r="B119" s="5" t="s">
        <v>88</v>
      </c>
      <c r="C119" s="5" t="s">
        <v>92</v>
      </c>
      <c r="D119" s="5" t="s">
        <v>89</v>
      </c>
      <c r="E119" s="5" t="s">
        <v>94</v>
      </c>
      <c r="F119" s="5" t="s">
        <v>18</v>
      </c>
      <c r="G119" s="5" t="s">
        <v>19</v>
      </c>
      <c r="H119" s="5"/>
      <c r="I119" s="5" t="s">
        <v>90</v>
      </c>
      <c r="J119" s="46" t="s">
        <v>96</v>
      </c>
      <c r="K119" s="48"/>
      <c r="L119" s="30"/>
      <c r="M119" s="30"/>
      <c r="O119" s="7" t="s">
        <v>8</v>
      </c>
      <c r="P119" s="7">
        <f>5.25/100</f>
        <v>5.2499999999999998E-2</v>
      </c>
      <c r="Q119" s="7">
        <f t="shared" si="12"/>
        <v>2.1647518593749995E-3</v>
      </c>
      <c r="R119" s="7">
        <f t="shared" si="13"/>
        <v>0.172244094488025</v>
      </c>
      <c r="S119" s="7">
        <v>1.4999999999999999E-4</v>
      </c>
      <c r="T119" s="7">
        <f t="shared" si="14"/>
        <v>8.7085714285797182E-4</v>
      </c>
    </row>
    <row r="120" spans="1:20" s="9" customFormat="1">
      <c r="B120" s="10">
        <f>C120</f>
        <v>2.7026077840782623</v>
      </c>
      <c r="C120" s="11">
        <f>H115</f>
        <v>2.7026077840782623</v>
      </c>
      <c r="D120" s="11">
        <v>0</v>
      </c>
      <c r="E120" s="11">
        <v>2.1</v>
      </c>
      <c r="F120" s="10">
        <f>I123</f>
        <v>9.7306327842472253</v>
      </c>
      <c r="G120" s="10">
        <v>9.8000000000000007</v>
      </c>
      <c r="H120" s="10">
        <f>C115</f>
        <v>997.07</v>
      </c>
      <c r="I120" s="10">
        <f>((J120/H120)+E120+F120-D120+ ((POWER(C120,2)-POWER(B120,2))/(2*G120)))*H120</f>
        <v>11795.969030189381</v>
      </c>
      <c r="J120" s="47">
        <v>0</v>
      </c>
      <c r="K120" s="48"/>
      <c r="L120" s="30"/>
      <c r="M120" s="30"/>
      <c r="O120" s="7"/>
      <c r="P120" s="7">
        <f>6.271/100</f>
        <v>6.2710000000000002E-2</v>
      </c>
      <c r="Q120" s="7">
        <f t="shared" si="12"/>
        <v>3.0886103047797499E-3</v>
      </c>
      <c r="R120" s="7">
        <f t="shared" si="13"/>
        <v>0.2057414698160771</v>
      </c>
      <c r="S120" s="7">
        <v>1.4999999999999999E-4</v>
      </c>
      <c r="T120" s="7">
        <f t="shared" si="14"/>
        <v>7.2907032371302054E-4</v>
      </c>
    </row>
    <row r="121" spans="1:20" s="9" customFormat="1">
      <c r="M121" s="31"/>
      <c r="O121" s="7" t="s">
        <v>9</v>
      </c>
      <c r="P121" s="7">
        <f>7.793/100</f>
        <v>7.7929999999999999E-2</v>
      </c>
      <c r="Q121" s="7">
        <f t="shared" si="12"/>
        <v>4.7697856977477497E-3</v>
      </c>
      <c r="R121" s="7">
        <f t="shared" si="13"/>
        <v>0.25567585301812928</v>
      </c>
      <c r="S121" s="7">
        <v>1.4999999999999999E-4</v>
      </c>
      <c r="T121" s="7">
        <f t="shared" si="14"/>
        <v>5.8668035416455187E-4</v>
      </c>
    </row>
    <row r="122" spans="1:20" s="9" customFormat="1">
      <c r="B122" s="5" t="s">
        <v>33</v>
      </c>
      <c r="C122" s="5" t="s">
        <v>19</v>
      </c>
      <c r="D122" s="5" t="s">
        <v>16</v>
      </c>
      <c r="E122" s="5" t="s">
        <v>34</v>
      </c>
      <c r="F122" s="5" t="s">
        <v>6</v>
      </c>
      <c r="G122" s="5" t="s">
        <v>35</v>
      </c>
      <c r="H122" s="5" t="s">
        <v>24</v>
      </c>
      <c r="I122" s="5" t="s">
        <v>36</v>
      </c>
      <c r="K122" s="5" t="s">
        <v>45</v>
      </c>
      <c r="L122" s="5" t="s">
        <v>47</v>
      </c>
      <c r="M122" s="30"/>
      <c r="O122" s="7"/>
      <c r="P122" s="7">
        <f>9.012/100</f>
        <v>9.0120000000000006E-2</v>
      </c>
      <c r="Q122" s="7">
        <f t="shared" si="12"/>
        <v>6.3786956457240005E-3</v>
      </c>
      <c r="R122" s="7">
        <f t="shared" si="13"/>
        <v>0.29566929133830122</v>
      </c>
      <c r="S122" s="7">
        <v>1.4999999999999999E-4</v>
      </c>
      <c r="T122" s="7">
        <f t="shared" si="14"/>
        <v>5.0732356857571587E-4</v>
      </c>
    </row>
    <row r="123" spans="1:20" s="9" customFormat="1">
      <c r="B123" s="10">
        <f>H115</f>
        <v>2.7026077840782623</v>
      </c>
      <c r="C123" s="10">
        <v>9.8000000000000007</v>
      </c>
      <c r="D123" s="40">
        <f>K115</f>
        <v>2.3189999999999999E-2</v>
      </c>
      <c r="E123" s="11">
        <v>18</v>
      </c>
      <c r="F123" s="10">
        <f>I115</f>
        <v>5.2499999999999998E-2</v>
      </c>
      <c r="G123" s="10">
        <f>F137</f>
        <v>740</v>
      </c>
      <c r="H123" s="10">
        <f>H137</f>
        <v>1</v>
      </c>
      <c r="I123" s="10">
        <f>((POWER(B123,2))/(2*C123))*((D123*((E123/F123)+F137)+H137))</f>
        <v>9.7306327842472253</v>
      </c>
      <c r="K123" s="10">
        <f>I120*14.6951/10331.9272</f>
        <v>16.777406687063763</v>
      </c>
      <c r="L123" s="10">
        <v>14.696099999999999</v>
      </c>
      <c r="M123" s="29"/>
      <c r="O123" s="7" t="s">
        <v>10</v>
      </c>
      <c r="P123" s="7">
        <f>10.226/100</f>
        <v>0.10226</v>
      </c>
      <c r="Q123" s="7">
        <f t="shared" si="12"/>
        <v>8.2129861662710007E-3</v>
      </c>
      <c r="R123" s="7">
        <f t="shared" si="13"/>
        <v>0.33549868766372265</v>
      </c>
      <c r="S123" s="7">
        <v>1.4999999999999999E-4</v>
      </c>
      <c r="T123" s="7">
        <f t="shared" si="14"/>
        <v>4.470956385687807E-4</v>
      </c>
    </row>
    <row r="124" spans="1:20">
      <c r="K124" s="5" t="s">
        <v>46</v>
      </c>
      <c r="O124" s="7" t="s">
        <v>11</v>
      </c>
      <c r="P124" s="8">
        <f>12.819/100</f>
        <v>0.12819</v>
      </c>
      <c r="Q124" s="8">
        <f t="shared" si="12"/>
        <v>1.2906182727249749E-2</v>
      </c>
      <c r="R124" s="7">
        <f t="shared" si="13"/>
        <v>0.42057086614133193</v>
      </c>
      <c r="S124" s="7">
        <v>1.4999999999999999E-4</v>
      </c>
      <c r="T124" s="8">
        <f t="shared" si="14"/>
        <v>3.5665808565444668E-4</v>
      </c>
    </row>
    <row r="125" spans="1:20">
      <c r="C125" s="32" t="s">
        <v>20</v>
      </c>
      <c r="D125" s="33"/>
      <c r="E125" s="33"/>
      <c r="F125" s="33"/>
      <c r="G125" s="33"/>
      <c r="H125" s="34"/>
      <c r="K125" s="4">
        <f>L123+K123</f>
        <v>31.473506687063761</v>
      </c>
      <c r="O125" s="7" t="s">
        <v>12</v>
      </c>
      <c r="P125" s="8">
        <f>15.405/100</f>
        <v>0.15404999999999999</v>
      </c>
      <c r="Q125" s="8">
        <f t="shared" si="12"/>
        <v>1.8638584194993747E-2</v>
      </c>
      <c r="R125" s="7">
        <f t="shared" si="13"/>
        <v>0.50541338582629047</v>
      </c>
      <c r="S125" s="7">
        <v>1.4999999999999999E-4</v>
      </c>
      <c r="T125" s="8">
        <f t="shared" si="14"/>
        <v>2.9678675754653375E-4</v>
      </c>
    </row>
    <row r="126" spans="1:20" s="9" customFormat="1">
      <c r="C126" s="3" t="s">
        <v>21</v>
      </c>
      <c r="D126" s="3" t="s">
        <v>22</v>
      </c>
      <c r="E126" s="3" t="s">
        <v>23</v>
      </c>
      <c r="F126" s="3"/>
      <c r="G126" s="3" t="s">
        <v>24</v>
      </c>
      <c r="H126" s="3"/>
    </row>
    <row r="127" spans="1:20" s="9" customFormat="1">
      <c r="C127" s="24" t="s">
        <v>25</v>
      </c>
      <c r="D127" s="2">
        <v>4</v>
      </c>
      <c r="E127" s="2">
        <v>30</v>
      </c>
      <c r="F127" s="2">
        <f>(D127*E127)</f>
        <v>120</v>
      </c>
      <c r="G127" s="2"/>
      <c r="H127" s="2"/>
    </row>
    <row r="128" spans="1:20" s="9" customFormat="1">
      <c r="C128" s="24" t="s">
        <v>26</v>
      </c>
      <c r="D128" s="2">
        <v>0</v>
      </c>
      <c r="E128" s="2">
        <v>20</v>
      </c>
      <c r="F128" s="2">
        <f>(D128*E128)</f>
        <v>0</v>
      </c>
      <c r="G128" s="2"/>
      <c r="H128" s="2"/>
      <c r="P128" s="30"/>
      <c r="Q128" s="30"/>
      <c r="R128" s="30"/>
      <c r="S128" s="30"/>
    </row>
    <row r="129" spans="1:19" s="9" customFormat="1">
      <c r="C129" s="24" t="s">
        <v>27</v>
      </c>
      <c r="D129" s="2">
        <v>0</v>
      </c>
      <c r="E129" s="2">
        <v>60</v>
      </c>
      <c r="F129" s="2">
        <f>(D129*E129)</f>
        <v>0</v>
      </c>
      <c r="G129" s="2"/>
      <c r="H129" s="2"/>
      <c r="P129" s="30"/>
      <c r="Q129" s="30"/>
      <c r="R129" s="30"/>
      <c r="S129" s="30"/>
    </row>
    <row r="130" spans="1:19" s="9" customFormat="1">
      <c r="C130" s="24" t="s">
        <v>50</v>
      </c>
      <c r="D130" s="2">
        <v>0</v>
      </c>
      <c r="E130" s="2"/>
      <c r="F130" s="2">
        <f>(D130*E130)</f>
        <v>0</v>
      </c>
      <c r="G130" s="2">
        <v>0.78</v>
      </c>
      <c r="H130" s="2">
        <f>G130*D130</f>
        <v>0</v>
      </c>
    </row>
    <row r="131" spans="1:19" s="9" customFormat="1">
      <c r="C131" s="24" t="s">
        <v>51</v>
      </c>
      <c r="D131" s="2">
        <v>1</v>
      </c>
      <c r="E131" s="2"/>
      <c r="F131" s="2">
        <f>(D131*E131)</f>
        <v>0</v>
      </c>
      <c r="G131" s="2">
        <v>1</v>
      </c>
      <c r="H131" s="2">
        <f>G131*D131</f>
        <v>1</v>
      </c>
    </row>
    <row r="132" spans="1:19" s="9" customFormat="1">
      <c r="C132" s="24" t="s">
        <v>28</v>
      </c>
      <c r="D132" s="2">
        <v>0</v>
      </c>
      <c r="E132" s="2"/>
      <c r="F132" s="2"/>
      <c r="G132" s="2"/>
      <c r="H132" s="2"/>
    </row>
    <row r="133" spans="1:19" s="9" customFormat="1">
      <c r="C133" s="24" t="s">
        <v>29</v>
      </c>
      <c r="D133" s="2">
        <v>0</v>
      </c>
      <c r="E133" s="2"/>
      <c r="F133" s="2"/>
      <c r="G133" s="2">
        <v>0.04</v>
      </c>
      <c r="H133" s="2">
        <f>(D133*G133)</f>
        <v>0</v>
      </c>
    </row>
    <row r="134" spans="1:19" s="9" customFormat="1">
      <c r="C134" s="24" t="s">
        <v>30</v>
      </c>
      <c r="D134" s="2">
        <v>0</v>
      </c>
      <c r="E134" s="2">
        <v>13</v>
      </c>
      <c r="F134" s="2">
        <f>(D134*E134)</f>
        <v>0</v>
      </c>
      <c r="G134" s="2"/>
      <c r="H134" s="2"/>
    </row>
    <row r="135" spans="1:19" s="9" customFormat="1">
      <c r="C135" s="24" t="s">
        <v>31</v>
      </c>
      <c r="D135" s="2">
        <v>1</v>
      </c>
      <c r="E135" s="2">
        <v>340</v>
      </c>
      <c r="F135" s="2">
        <f>(D135*E135)</f>
        <v>340</v>
      </c>
      <c r="G135" s="2"/>
      <c r="H135" s="2"/>
    </row>
    <row r="136" spans="1:19" s="9" customFormat="1">
      <c r="C136" s="24" t="s">
        <v>55</v>
      </c>
      <c r="D136" s="2">
        <v>2</v>
      </c>
      <c r="E136" s="2">
        <v>140</v>
      </c>
      <c r="F136" s="2">
        <f>(D136*E136)</f>
        <v>280</v>
      </c>
      <c r="G136" s="2"/>
      <c r="H136" s="2"/>
    </row>
    <row r="137" spans="1:19" s="9" customFormat="1">
      <c r="C137" s="24" t="s">
        <v>52</v>
      </c>
      <c r="D137" s="2"/>
      <c r="E137" s="2"/>
      <c r="F137" s="2">
        <f>SUM(F127:F136)</f>
        <v>740</v>
      </c>
      <c r="G137" s="2"/>
      <c r="H137" s="2">
        <f>SUM(H127:H136)</f>
        <v>1</v>
      </c>
    </row>
    <row r="138" spans="1:19">
      <c r="A138" s="14" t="s">
        <v>98</v>
      </c>
      <c r="B138" s="14"/>
      <c r="C138" s="12"/>
      <c r="D138" s="12"/>
      <c r="E138" s="12"/>
      <c r="F138" s="12"/>
      <c r="G138" s="12"/>
      <c r="H138" s="12"/>
      <c r="I138" s="14"/>
      <c r="J138" s="14"/>
      <c r="K138" s="14"/>
      <c r="L138" s="13"/>
      <c r="M138" s="13"/>
    </row>
    <row r="139" spans="1:19" s="27" customFormat="1">
      <c r="B139" s="26" t="s">
        <v>81</v>
      </c>
      <c r="C139" s="26" t="s">
        <v>92</v>
      </c>
      <c r="D139" s="26" t="s">
        <v>99</v>
      </c>
      <c r="E139" s="26" t="s">
        <v>94</v>
      </c>
      <c r="F139" s="26" t="s">
        <v>38</v>
      </c>
      <c r="G139" s="26" t="s">
        <v>19</v>
      </c>
      <c r="H139" s="26"/>
      <c r="I139" s="26" t="s">
        <v>76</v>
      </c>
      <c r="J139" s="26" t="s">
        <v>100</v>
      </c>
      <c r="K139" s="26" t="s">
        <v>37</v>
      </c>
    </row>
    <row r="140" spans="1:19" s="27" customFormat="1">
      <c r="B140" s="28">
        <v>0</v>
      </c>
      <c r="C140" s="28">
        <f>B120</f>
        <v>2.7026077840782623</v>
      </c>
      <c r="D140" s="28">
        <v>1.36</v>
      </c>
      <c r="E140" s="28">
        <v>2.1</v>
      </c>
      <c r="F140" s="28">
        <f>I123+I14</f>
        <v>10.505195381584976</v>
      </c>
      <c r="G140" s="28">
        <v>9.8000000000000007</v>
      </c>
      <c r="H140" s="28">
        <f>C6</f>
        <v>997.07</v>
      </c>
      <c r="I140" s="28">
        <v>0</v>
      </c>
      <c r="J140" s="28">
        <v>0</v>
      </c>
      <c r="K140" s="28">
        <f>((J140-I140)/(2*G140))+(E140-D140)+((POWER(C140,2)-POWER(B140,2))/H140)+F140</f>
        <v>11.25252093428896</v>
      </c>
    </row>
    <row r="141" spans="1:19" s="27" customFormat="1"/>
    <row r="142" spans="1:19" s="27" customFormat="1"/>
    <row r="143" spans="1:19" s="27" customFormat="1">
      <c r="K143" s="43"/>
      <c r="L143" s="43"/>
      <c r="M143" s="43"/>
    </row>
    <row r="144" spans="1:19" s="27" customFormat="1">
      <c r="B144" s="26" t="s">
        <v>41</v>
      </c>
      <c r="C144" s="26" t="s">
        <v>19</v>
      </c>
      <c r="D144" s="26" t="s">
        <v>42</v>
      </c>
      <c r="E144" s="26" t="s">
        <v>43</v>
      </c>
      <c r="F144" s="26"/>
      <c r="G144" s="51" t="s">
        <v>44</v>
      </c>
      <c r="H144" s="53"/>
      <c r="K144" s="30"/>
      <c r="L144" s="30"/>
      <c r="M144" s="30"/>
    </row>
    <row r="145" spans="2:13" s="27" customFormat="1">
      <c r="B145" s="28">
        <f>H6</f>
        <v>2.7026077840782623</v>
      </c>
      <c r="C145" s="28">
        <v>9.8000000000000007</v>
      </c>
      <c r="D145" s="28">
        <f>L16</f>
        <v>10120.473922330983</v>
      </c>
      <c r="E145" s="41">
        <v>317.62814200000003</v>
      </c>
      <c r="F145" s="28">
        <f>H140</f>
        <v>997.07</v>
      </c>
      <c r="G145" s="52">
        <f>POWER(B145,2)/(2*C145)+(D145-E145)/F145</f>
        <v>10.20431011582111</v>
      </c>
      <c r="H145" s="53"/>
      <c r="K145" s="43"/>
      <c r="L145" s="43"/>
      <c r="M145" s="43"/>
    </row>
    <row r="146" spans="2:13">
      <c r="K146" s="49"/>
      <c r="L146" s="49"/>
      <c r="M146" s="49"/>
    </row>
    <row r="147" spans="2:13">
      <c r="K147" s="30"/>
      <c r="L147" s="30"/>
      <c r="M147" s="49"/>
    </row>
    <row r="148" spans="2:13">
      <c r="B148" s="44"/>
      <c r="C148" s="44"/>
      <c r="D148" s="44"/>
      <c r="E148" s="44"/>
      <c r="F148" s="44"/>
      <c r="G148" s="44"/>
      <c r="K148" s="49"/>
      <c r="L148" s="49"/>
      <c r="M148" s="49"/>
    </row>
    <row r="149" spans="2:13">
      <c r="B149" s="45"/>
      <c r="C149" s="45"/>
      <c r="D149" s="45"/>
      <c r="E149" s="45"/>
      <c r="F149" s="45"/>
      <c r="G149" s="45"/>
    </row>
    <row r="150" spans="2:13">
      <c r="B150" s="45"/>
      <c r="C150" s="43"/>
      <c r="D150" s="45"/>
      <c r="E150" s="45"/>
      <c r="F150" s="45"/>
      <c r="G150" s="45"/>
    </row>
    <row r="151" spans="2:13">
      <c r="B151" s="44"/>
      <c r="C151" s="44"/>
      <c r="D151" s="44"/>
      <c r="E151" s="44"/>
      <c r="F151" s="44"/>
      <c r="G151" s="44"/>
    </row>
  </sheetData>
  <pageMargins left="0.7" right="0.7" top="0.75" bottom="0.75" header="0.3" footer="0.3"/>
  <drawing r:id="rId1"/>
  <legacyDrawing r:id="rId2"/>
  <oleObjects>
    <oleObject progId="Equation.3" shapeId="5121" r:id="rId3"/>
    <oleObject progId="Equation.3" shapeId="5122" r:id="rId4"/>
    <oleObject progId="Equation.3" shapeId="5123" r:id="rId5"/>
    <oleObject progId="Equation.3" shapeId="5124" r:id="rId6"/>
    <oleObject progId="Equation.3" shapeId="5125" r:id="rId7"/>
    <oleObject progId="Equation.3" shapeId="5126" r:id="rId8"/>
    <oleObject progId="Equation.3" shapeId="5127" r:id="rId9"/>
    <oleObject progId="Equation.3" shapeId="5128" r:id="rId10"/>
    <oleObject progId="Equation.3" shapeId="5132" r:id="rId11"/>
    <oleObject progId="Equation.3" shapeId="5133" r:id="rId12"/>
    <oleObject progId="Equation.3" shapeId="5134" r:id="rId13"/>
    <oleObject progId="Equation.3" shapeId="5135" r:id="rId14"/>
    <oleObject progId="Equation.3" shapeId="5136" r:id="rId15"/>
    <oleObject progId="Equation.3" shapeId="5137" r:id="rId16"/>
    <oleObject progId="Equation.3" shapeId="5138" r:id="rId17"/>
    <oleObject progId="Equation.3" shapeId="5139" r:id="rId18"/>
    <oleObject progId="Equation.3" shapeId="5140" r:id="rId19"/>
    <oleObject progId="Equation.3" shapeId="5141" r:id="rId20"/>
    <oleObject progId="Equation.3" shapeId="5142" r:id="rId21"/>
    <oleObject progId="Equation.3" shapeId="5143" r:id="rId22"/>
    <oleObject progId="Equation.3" shapeId="5144" r:id="rId23"/>
    <oleObject progId="Equation.3" shapeId="5145" r:id="rId24"/>
    <oleObject progId="Equation.3" shapeId="5146" r:id="rId25"/>
    <oleObject progId="Equation.3" shapeId="5147" r:id="rId26"/>
    <oleObject progId="Equation.3" shapeId="5148" r:id="rId27"/>
    <oleObject progId="Equation.3" shapeId="5149" r:id="rId28"/>
    <oleObject progId="Equation.3" shapeId="5150" r:id="rId29"/>
    <oleObject progId="Equation.3" shapeId="5151" r:id="rId30"/>
    <oleObject progId="Equation.3" shapeId="5152" r:id="rId31"/>
    <oleObject progId="Equation.3" shapeId="5153" r:id="rId32"/>
    <oleObject progId="Equation.3" shapeId="5154" r:id="rId33"/>
    <oleObject progId="Equation.3" shapeId="5155" r:id="rId34"/>
    <oleObject progId="Equation.3" shapeId="5156" r:id="rId35"/>
    <oleObject progId="Equation.3" shapeId="5157" r:id="rId36"/>
    <oleObject progId="Equation.3" shapeId="5158" r:id="rId37"/>
    <oleObject progId="Equation.3" shapeId="5159" r:id="rId38"/>
    <oleObject progId="Equation.3" shapeId="5160" r:id="rId39"/>
    <oleObject progId="Equation.3" shapeId="5161" r:id="rId40"/>
    <oleObject progId="Equation.3" shapeId="5162" r:id="rId41"/>
    <oleObject progId="Equation.3" shapeId="5163" r:id="rId42"/>
    <oleObject progId="Equation.3" shapeId="5164" r:id="rId43"/>
    <oleObject progId="Equation.3" shapeId="5210" r:id="rId44"/>
    <oleObject progId="Equation.3" shapeId="5211" r:id="rId45"/>
    <oleObject progId="Equation.3" shapeId="5212" r:id="rId46"/>
    <oleObject progId="Equation.3" shapeId="5213" r:id="rId47"/>
    <oleObject progId="Equation.3" shapeId="5214" r:id="rId48"/>
    <oleObject progId="Equation.3" shapeId="5215" r:id="rId49"/>
    <oleObject progId="Equation.3" shapeId="5216" r:id="rId50"/>
    <oleObject progId="Equation.3" shapeId="5217" r:id="rId51"/>
    <oleObject progId="Equation.3" shapeId="5218" r:id="rId52"/>
    <oleObject progId="Equation.3" shapeId="5219" r:id="rId53"/>
    <oleObject progId="Equation.3" shapeId="5220" r:id="rId54"/>
    <oleObject progId="Equation.3" shapeId="5221" r:id="rId55"/>
    <oleObject progId="Equation.3" shapeId="5222" r:id="rId56"/>
    <oleObject progId="Equation.3" shapeId="5223" r:id="rId57"/>
    <oleObject progId="Equation.3" shapeId="5224" r:id="rId58"/>
    <oleObject progId="Equation.3" shapeId="5225" r:id="rId59"/>
    <oleObject progId="Equation.3" shapeId="5226" r:id="rId60"/>
    <oleObject progId="Equation.3" shapeId="5227" r:id="rId61"/>
    <oleObject progId="Equation.3" shapeId="5228" r:id="rId62"/>
    <oleObject progId="Equation.3" shapeId="5229" r:id="rId63"/>
    <oleObject progId="Equation.3" shapeId="5230" r:id="rId64"/>
    <oleObject progId="Equation.3" shapeId="5231" r:id="rId65"/>
    <oleObject progId="Equation.3" shapeId="5232" r:id="rId66"/>
    <oleObject progId="Equation.3" shapeId="5233" r:id="rId67"/>
    <oleObject progId="Equation.3" shapeId="5234" r:id="rId68"/>
    <oleObject progId="Equation.3" shapeId="5235" r:id="rId69"/>
    <oleObject progId="Equation.3" shapeId="5236" r:id="rId70"/>
    <oleObject progId="Equation.3" shapeId="5237" r:id="rId71"/>
    <oleObject progId="Equation.3" shapeId="5238" r:id="rId72"/>
    <oleObject progId="Equation.3" shapeId="5239" r:id="rId73"/>
    <oleObject progId="Equation.3" shapeId="5240" r:id="rId74"/>
    <oleObject progId="Equation.3" shapeId="5241" r:id="rId75"/>
    <oleObject progId="Equation.3" shapeId="5242" r:id="rId76"/>
    <oleObject progId="Equation.3" shapeId="5243" r:id="rId77"/>
    <oleObject progId="Equation.3" shapeId="5244" r:id="rId78"/>
    <oleObject progId="Equation.3" shapeId="5245" r:id="rId79"/>
    <oleObject progId="Equation.3" shapeId="5246" r:id="rId80"/>
    <oleObject progId="Equation.3" shapeId="5247" r:id="rId81"/>
    <oleObject progId="Equation.3" shapeId="5248" r:id="rId82"/>
    <oleObject progId="Equation.3" shapeId="5249" r:id="rId83"/>
    <oleObject progId="Equation.3" shapeId="5250" r:id="rId84"/>
    <oleObject progId="Equation.3" shapeId="5251" r:id="rId85"/>
    <oleObject progId="Equation.3" shapeId="5252" r:id="rId86"/>
    <oleObject progId="Equation.3" shapeId="5253" r:id="rId87"/>
    <oleObject progId="Equation.3" shapeId="5254" r:id="rId88"/>
    <oleObject progId="Equation.3" shapeId="5255" r:id="rId89"/>
    <oleObject progId="Equation.3" shapeId="5256" r:id="rId90"/>
    <oleObject progId="Equation.3" shapeId="5257" r:id="rId91"/>
    <oleObject progId="Equation.3" shapeId="5258" r:id="rId92"/>
    <oleObject progId="Equation.3" shapeId="5259" r:id="rId93"/>
    <oleObject progId="Equation.3" shapeId="5260" r:id="rId94"/>
    <oleObject progId="Equation.3" shapeId="5261" r:id="rId95"/>
    <oleObject progId="Equation.3" shapeId="5262" r:id="rId96"/>
    <oleObject progId="Equation.3" shapeId="5263" r:id="rId97"/>
    <oleObject progId="Equation.3" shapeId="5264" r:id="rId98"/>
    <oleObject progId="Equation.3" shapeId="5265" r:id="rId99"/>
    <oleObject progId="Equation.3" shapeId="5266" r:id="rId100"/>
    <oleObject progId="Equation.3" shapeId="5267" r:id="rId101"/>
    <oleObject progId="Equation.3" shapeId="5268" r:id="rId102"/>
    <oleObject progId="Equation.3" shapeId="5269" r:id="rId103"/>
    <oleObject progId="Equation.3" shapeId="5270" r:id="rId104"/>
    <oleObject progId="Equation.3" shapeId="5271" r:id="rId105"/>
    <oleObject progId="Equation.3" shapeId="5272" r:id="rId106"/>
    <oleObject progId="Equation.3" shapeId="5273" r:id="rId107"/>
    <oleObject progId="Equation.3" shapeId="5274" r:id="rId108"/>
    <oleObject progId="Equation.3" shapeId="5275" r:id="rId109"/>
    <oleObject progId="Equation.3" shapeId="5276" r:id="rId110"/>
    <oleObject progId="Equation.3" shapeId="5277" r:id="rId111"/>
    <oleObject progId="Equation.3" shapeId="5278" r:id="rId112"/>
    <oleObject progId="Equation.3" shapeId="5279" r:id="rId113"/>
    <oleObject progId="Equation.3" shapeId="5280" r:id="rId114"/>
    <oleObject progId="Equation.3" shapeId="5281" r:id="rId115"/>
    <oleObject progId="Equation.3" shapeId="5282" r:id="rId116"/>
    <oleObject progId="Equation.3" shapeId="5283" r:id="rId117"/>
    <oleObject progId="Equation.3" shapeId="5284" r:id="rId118"/>
    <oleObject progId="Equation.3" shapeId="5285" r:id="rId119"/>
    <oleObject progId="Equation.3" shapeId="5286" r:id="rId120"/>
    <oleObject progId="Equation.3" shapeId="5287" r:id="rId121"/>
    <oleObject progId="Equation.3" shapeId="5288" r:id="rId122"/>
    <oleObject progId="Equation.3" shapeId="5289" r:id="rId123"/>
    <oleObject progId="Equation.3" shapeId="5290" r:id="rId124"/>
    <oleObject progId="Equation.3" shapeId="5291" r:id="rId125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tabSelected="1" topLeftCell="A7" workbookViewId="0">
      <selection activeCell="A20" sqref="A20:F21"/>
    </sheetView>
  </sheetViews>
  <sheetFormatPr baseColWidth="10" defaultRowHeight="15"/>
  <cols>
    <col min="1" max="1" width="14.140625" style="57" customWidth="1"/>
    <col min="2" max="2" width="23.28515625" style="57" customWidth="1"/>
    <col min="3" max="3" width="23.42578125" style="57" customWidth="1"/>
    <col min="4" max="4" width="38" style="57" customWidth="1"/>
    <col min="5" max="5" width="44.5703125" style="57" customWidth="1"/>
    <col min="6" max="6" width="33.28515625" style="57" customWidth="1"/>
    <col min="7" max="7" width="13.7109375" style="57" customWidth="1"/>
    <col min="8" max="16384" width="11.42578125" style="57"/>
  </cols>
  <sheetData>
    <row r="1" spans="1:7">
      <c r="A1" s="56"/>
      <c r="C1" s="56"/>
    </row>
    <row r="2" spans="1:7" ht="18">
      <c r="A2" s="58" t="s">
        <v>0</v>
      </c>
      <c r="B2" s="58" t="s">
        <v>112</v>
      </c>
      <c r="C2" s="58" t="s">
        <v>113</v>
      </c>
      <c r="D2" s="58" t="s">
        <v>6</v>
      </c>
      <c r="E2" s="58" t="s">
        <v>108</v>
      </c>
      <c r="F2" s="58" t="s">
        <v>109</v>
      </c>
      <c r="G2" s="58" t="s">
        <v>110</v>
      </c>
    </row>
    <row r="3" spans="1:7">
      <c r="A3" s="56">
        <v>200</v>
      </c>
      <c r="B3" s="56">
        <v>971.83</v>
      </c>
      <c r="C3" s="56">
        <v>0.20579731022915529</v>
      </c>
      <c r="D3" s="56">
        <v>5.2499999999999998E-2</v>
      </c>
      <c r="E3" s="56">
        <v>0.23262775352041556</v>
      </c>
      <c r="F3" s="56">
        <v>1.610808131971476</v>
      </c>
      <c r="G3" s="56" t="s">
        <v>71</v>
      </c>
    </row>
    <row r="4" spans="1:7">
      <c r="A4" s="56">
        <v>350</v>
      </c>
      <c r="B4" s="56">
        <v>997.07</v>
      </c>
      <c r="C4" s="56"/>
      <c r="D4" s="56">
        <v>5.2499999999999998E-2</v>
      </c>
      <c r="E4" s="56">
        <v>0.77456259733775057</v>
      </c>
      <c r="F4" s="56">
        <v>9.7306327842472253</v>
      </c>
      <c r="G4" s="56" t="s">
        <v>70</v>
      </c>
    </row>
    <row r="5" spans="1:7">
      <c r="A5" s="59">
        <v>50</v>
      </c>
      <c r="B5" s="59">
        <v>1006</v>
      </c>
      <c r="C5" s="59"/>
      <c r="D5" s="56">
        <v>5.2499999999999998E-2</v>
      </c>
      <c r="E5" s="56">
        <v>3.7801684411267313</v>
      </c>
      <c r="F5" s="56">
        <v>94.007505420980422</v>
      </c>
      <c r="G5" s="56" t="s">
        <v>69</v>
      </c>
    </row>
    <row r="6" spans="1:7">
      <c r="A6" s="59">
        <v>140</v>
      </c>
      <c r="B6" s="59">
        <v>997.07</v>
      </c>
      <c r="C6" s="59"/>
      <c r="D6" s="56">
        <v>5.2499999999999998E-2</v>
      </c>
      <c r="E6" s="56">
        <v>1.8171553734140808</v>
      </c>
      <c r="F6" s="56">
        <v>61.512288672878356</v>
      </c>
      <c r="G6" s="56" t="s">
        <v>72</v>
      </c>
    </row>
    <row r="7" spans="1:7">
      <c r="A7" s="60"/>
      <c r="B7" s="60"/>
      <c r="C7" s="60"/>
      <c r="D7" s="61"/>
      <c r="E7" s="61"/>
      <c r="F7" s="61"/>
      <c r="G7" s="61"/>
    </row>
    <row r="9" spans="1:7" ht="15.75" thickBot="1"/>
    <row r="10" spans="1:7" ht="21" thickBot="1">
      <c r="A10" s="58" t="s">
        <v>114</v>
      </c>
      <c r="B10" s="63" t="s">
        <v>0</v>
      </c>
      <c r="C10" s="63" t="s">
        <v>111</v>
      </c>
      <c r="D10" s="63" t="s">
        <v>119</v>
      </c>
      <c r="E10" s="63" t="s">
        <v>121</v>
      </c>
      <c r="F10" s="54" t="s">
        <v>122</v>
      </c>
      <c r="G10" s="54"/>
    </row>
    <row r="11" spans="1:7" ht="15.75" thickBot="1">
      <c r="A11" s="62" t="s">
        <v>115</v>
      </c>
      <c r="B11" s="62">
        <v>100</v>
      </c>
      <c r="C11" s="62">
        <v>0.1003</v>
      </c>
      <c r="D11" s="62">
        <v>0.28999999999999998</v>
      </c>
      <c r="E11" s="62">
        <v>15.39</v>
      </c>
      <c r="F11" s="55">
        <v>0.77</v>
      </c>
    </row>
    <row r="12" spans="1:7" ht="15.75" thickBot="1">
      <c r="A12" s="62" t="s">
        <v>116</v>
      </c>
      <c r="B12" s="62">
        <v>50</v>
      </c>
      <c r="C12" s="62">
        <v>5.0099999999999999E-2</v>
      </c>
      <c r="D12" s="62">
        <v>0.04</v>
      </c>
      <c r="E12" s="62">
        <v>15.75</v>
      </c>
      <c r="F12" s="55">
        <v>0.39</v>
      </c>
    </row>
    <row r="13" spans="1:7" ht="15.75" thickBot="1">
      <c r="A13" s="62" t="s">
        <v>118</v>
      </c>
      <c r="B13" s="62">
        <v>350</v>
      </c>
      <c r="C13" s="62">
        <v>0.35099999999999998</v>
      </c>
      <c r="D13" s="62">
        <v>9.73</v>
      </c>
      <c r="E13" s="62">
        <v>31.47</v>
      </c>
      <c r="F13" s="55">
        <v>2.7</v>
      </c>
    </row>
    <row r="14" spans="1:7" ht="15.75" thickBot="1">
      <c r="A14" s="62" t="s">
        <v>117</v>
      </c>
      <c r="B14" s="62">
        <v>200</v>
      </c>
      <c r="C14" s="62">
        <v>0.2006</v>
      </c>
      <c r="D14" s="62">
        <v>1.48</v>
      </c>
      <c r="E14" s="62">
        <v>16.940000000000001</v>
      </c>
      <c r="F14" s="55">
        <v>1.54</v>
      </c>
    </row>
    <row r="17" spans="1:6" ht="18">
      <c r="A17" s="64" t="s">
        <v>111</v>
      </c>
      <c r="B17" s="64" t="s">
        <v>122</v>
      </c>
      <c r="C17" s="66" t="s">
        <v>123</v>
      </c>
      <c r="D17" s="64" t="s">
        <v>124</v>
      </c>
      <c r="E17" s="64" t="s">
        <v>120</v>
      </c>
      <c r="F17" s="66" t="s">
        <v>125</v>
      </c>
    </row>
    <row r="18" spans="1:6">
      <c r="A18" s="62">
        <v>0.35099999999999998</v>
      </c>
      <c r="B18" s="62">
        <v>1.54</v>
      </c>
      <c r="C18" s="67">
        <v>11.25252093428896</v>
      </c>
      <c r="D18" s="62">
        <v>10.20431011582111</v>
      </c>
      <c r="E18" s="62">
        <v>14.394350004328915</v>
      </c>
      <c r="F18" s="62">
        <v>31.473506687063761</v>
      </c>
    </row>
    <row r="19" spans="1:6">
      <c r="A19" s="65"/>
      <c r="B19" s="65"/>
      <c r="C19" s="65"/>
      <c r="D19" s="65"/>
      <c r="E19" s="65"/>
      <c r="F19" s="65"/>
    </row>
    <row r="20" spans="1:6">
      <c r="A20" s="64" t="s">
        <v>122</v>
      </c>
      <c r="B20" s="66" t="s">
        <v>123</v>
      </c>
      <c r="C20" s="64" t="s">
        <v>124</v>
      </c>
      <c r="D20" s="64" t="s">
        <v>120</v>
      </c>
      <c r="E20" s="66" t="s">
        <v>125</v>
      </c>
      <c r="F20" s="64" t="s">
        <v>126</v>
      </c>
    </row>
    <row r="21" spans="1:6">
      <c r="A21" s="62">
        <v>1.54</v>
      </c>
      <c r="B21" s="67">
        <v>11.25252093428896</v>
      </c>
      <c r="C21" s="62">
        <v>10.20431011582111</v>
      </c>
      <c r="D21" s="62">
        <v>14.394350004328915</v>
      </c>
      <c r="E21" s="62">
        <v>31.473506687063761</v>
      </c>
      <c r="F21" s="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Bernoulli agua @ 80ºC</vt:lpstr>
      <vt:lpstr>agua @ 25</vt:lpstr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MRVS</dc:creator>
  <cp:lastModifiedBy>Jose</cp:lastModifiedBy>
  <dcterms:created xsi:type="dcterms:W3CDTF">2008-09-18T16:23:45Z</dcterms:created>
  <dcterms:modified xsi:type="dcterms:W3CDTF">2008-10-31T00:53:59Z</dcterms:modified>
</cp:coreProperties>
</file>