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Default Extension="wmf" ContentType="image/x-wmf"/>
  <Override PartName="/xl/embeddings/oleObject2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450" windowHeight="8415" tabRatio="675" activeTab="1"/>
  </bookViews>
  <sheets>
    <sheet name="Estabilizante" sheetId="2" r:id="rId1"/>
    <sheet name="Concentrado" sheetId="3" r:id="rId2"/>
  </sheets>
  <calcPr calcId="125725"/>
</workbook>
</file>

<file path=xl/calcChain.xml><?xml version="1.0" encoding="utf-8"?>
<calcChain xmlns="http://schemas.openxmlformats.org/spreadsheetml/2006/main">
  <c r="C68" i="2"/>
  <c r="A65"/>
  <c r="F31"/>
  <c r="D22"/>
  <c r="D69" i="3"/>
  <c r="H19"/>
  <c r="G54"/>
  <c r="G51"/>
  <c r="G19"/>
  <c r="G51" i="2"/>
  <c r="G19"/>
  <c r="H51" i="3"/>
  <c r="E54" i="2"/>
  <c r="D54"/>
  <c r="E22"/>
  <c r="D51"/>
  <c r="H61"/>
  <c r="H61" i="3"/>
  <c r="E63"/>
  <c r="E62"/>
  <c r="D62"/>
  <c r="D61"/>
  <c r="E61" s="1"/>
  <c r="H60"/>
  <c r="E60"/>
  <c r="D60"/>
  <c r="H59"/>
  <c r="D59"/>
  <c r="E59" s="1"/>
  <c r="H58"/>
  <c r="H63" s="1"/>
  <c r="D58"/>
  <c r="E58" s="1"/>
  <c r="D57"/>
  <c r="E57" s="1"/>
  <c r="C54"/>
  <c r="D54" s="1"/>
  <c r="D51"/>
  <c r="B51"/>
  <c r="C51" s="1"/>
  <c r="D48"/>
  <c r="F48" s="1"/>
  <c r="C48"/>
  <c r="D47"/>
  <c r="F47" s="1"/>
  <c r="C47"/>
  <c r="F46"/>
  <c r="D46"/>
  <c r="C46"/>
  <c r="B45"/>
  <c r="D45" s="1"/>
  <c r="F45" s="1"/>
  <c r="B44"/>
  <c r="D44" s="1"/>
  <c r="F44" s="1"/>
  <c r="B43"/>
  <c r="D43" s="1"/>
  <c r="F43" s="1"/>
  <c r="B42"/>
  <c r="D42" s="1"/>
  <c r="F42" s="1"/>
  <c r="B41"/>
  <c r="D41" s="1"/>
  <c r="F41" s="1"/>
  <c r="B40"/>
  <c r="D40" s="1"/>
  <c r="F40" s="1"/>
  <c r="B39"/>
  <c r="D39" s="1"/>
  <c r="F39" s="1"/>
  <c r="F38"/>
  <c r="D38"/>
  <c r="C38"/>
  <c r="D37"/>
  <c r="F37" s="1"/>
  <c r="C37"/>
  <c r="I36"/>
  <c r="H36"/>
  <c r="F36"/>
  <c r="D36"/>
  <c r="C36"/>
  <c r="D27"/>
  <c r="E27" s="1"/>
  <c r="H26"/>
  <c r="H28" s="1"/>
  <c r="D26"/>
  <c r="D25"/>
  <c r="E25" s="1"/>
  <c r="E28" s="1"/>
  <c r="C22"/>
  <c r="D22" s="1"/>
  <c r="D19"/>
  <c r="B19"/>
  <c r="C19" s="1"/>
  <c r="D16"/>
  <c r="F16" s="1"/>
  <c r="C16"/>
  <c r="D15"/>
  <c r="F15" s="1"/>
  <c r="C15"/>
  <c r="F14"/>
  <c r="D14"/>
  <c r="C14"/>
  <c r="B13"/>
  <c r="D13" s="1"/>
  <c r="F13" s="1"/>
  <c r="B12"/>
  <c r="D12" s="1"/>
  <c r="F12" s="1"/>
  <c r="B11"/>
  <c r="D11" s="1"/>
  <c r="F11" s="1"/>
  <c r="B10"/>
  <c r="D10" s="1"/>
  <c r="F10" s="1"/>
  <c r="B9"/>
  <c r="D9" s="1"/>
  <c r="F9" s="1"/>
  <c r="B8"/>
  <c r="D8" s="1"/>
  <c r="F8" s="1"/>
  <c r="B7"/>
  <c r="D7" s="1"/>
  <c r="F7" s="1"/>
  <c r="D6"/>
  <c r="F6" s="1"/>
  <c r="C6"/>
  <c r="D5"/>
  <c r="F5" s="1"/>
  <c r="C5"/>
  <c r="I4"/>
  <c r="H4"/>
  <c r="D4"/>
  <c r="F4" s="1"/>
  <c r="C4"/>
  <c r="D26" i="2"/>
  <c r="D27"/>
  <c r="D25"/>
  <c r="D58"/>
  <c r="D59"/>
  <c r="D60"/>
  <c r="D61"/>
  <c r="D57"/>
  <c r="D19"/>
  <c r="F51" i="3" l="1"/>
  <c r="F19"/>
  <c r="C7"/>
  <c r="C8"/>
  <c r="C9"/>
  <c r="C10"/>
  <c r="C11"/>
  <c r="C12"/>
  <c r="C13"/>
  <c r="C39"/>
  <c r="C40"/>
  <c r="C41"/>
  <c r="C42"/>
  <c r="C43"/>
  <c r="C44"/>
  <c r="C45"/>
  <c r="D31" l="1"/>
  <c r="A22"/>
  <c r="B22" s="1"/>
  <c r="G22" s="1"/>
  <c r="D66"/>
  <c r="A66"/>
  <c r="A54"/>
  <c r="B54" l="1"/>
  <c r="F31"/>
  <c r="G31" s="1"/>
  <c r="H31" s="1"/>
  <c r="I31" s="1"/>
  <c r="C69" s="1"/>
  <c r="A69"/>
  <c r="C66"/>
  <c r="G66" s="1"/>
  <c r="H66" s="1"/>
  <c r="I66" s="1"/>
  <c r="E61" i="2" l="1"/>
  <c r="H60"/>
  <c r="E60"/>
  <c r="H59"/>
  <c r="E59"/>
  <c r="H58"/>
  <c r="H62" s="1"/>
  <c r="E58"/>
  <c r="E57"/>
  <c r="C54"/>
  <c r="B51"/>
  <c r="C51" s="1"/>
  <c r="H51" s="1"/>
  <c r="F48"/>
  <c r="D48"/>
  <c r="C48"/>
  <c r="D47"/>
  <c r="F47" s="1"/>
  <c r="C47"/>
  <c r="F46"/>
  <c r="D46"/>
  <c r="C46"/>
  <c r="B45"/>
  <c r="D45" s="1"/>
  <c r="F45" s="1"/>
  <c r="B44"/>
  <c r="D44" s="1"/>
  <c r="F44" s="1"/>
  <c r="B43"/>
  <c r="D43" s="1"/>
  <c r="F43" s="1"/>
  <c r="B42"/>
  <c r="D42" s="1"/>
  <c r="F42" s="1"/>
  <c r="B41"/>
  <c r="D41" s="1"/>
  <c r="F41" s="1"/>
  <c r="B40"/>
  <c r="D40" s="1"/>
  <c r="F40" s="1"/>
  <c r="B39"/>
  <c r="D39" s="1"/>
  <c r="F39" s="1"/>
  <c r="D38"/>
  <c r="F38" s="1"/>
  <c r="C38"/>
  <c r="D37"/>
  <c r="F37" s="1"/>
  <c r="C37"/>
  <c r="I36"/>
  <c r="H36"/>
  <c r="D36"/>
  <c r="F36" s="1"/>
  <c r="C36"/>
  <c r="E27"/>
  <c r="H26"/>
  <c r="H28" s="1"/>
  <c r="E25"/>
  <c r="E28" s="1"/>
  <c r="C22"/>
  <c r="B19"/>
  <c r="C19" s="1"/>
  <c r="D16"/>
  <c r="F16" s="1"/>
  <c r="C16"/>
  <c r="F15"/>
  <c r="D15"/>
  <c r="C15"/>
  <c r="D14"/>
  <c r="F14" s="1"/>
  <c r="C14"/>
  <c r="C13"/>
  <c r="B13"/>
  <c r="D13" s="1"/>
  <c r="F13" s="1"/>
  <c r="C12"/>
  <c r="B12"/>
  <c r="D12" s="1"/>
  <c r="F12" s="1"/>
  <c r="C11"/>
  <c r="B11"/>
  <c r="D11" s="1"/>
  <c r="F11" s="1"/>
  <c r="C10"/>
  <c r="B10"/>
  <c r="D10" s="1"/>
  <c r="F10" s="1"/>
  <c r="C9"/>
  <c r="B9"/>
  <c r="D9" s="1"/>
  <c r="F9" s="1"/>
  <c r="C8"/>
  <c r="B8"/>
  <c r="D8" s="1"/>
  <c r="F8" s="1"/>
  <c r="C7"/>
  <c r="B7"/>
  <c r="D7" s="1"/>
  <c r="F7" s="1"/>
  <c r="F6"/>
  <c r="D6"/>
  <c r="C6"/>
  <c r="D5"/>
  <c r="F5" s="1"/>
  <c r="C5"/>
  <c r="I4"/>
  <c r="H4"/>
  <c r="F4"/>
  <c r="D4"/>
  <c r="C4"/>
  <c r="H19" l="1"/>
  <c r="F19"/>
  <c r="E62"/>
  <c r="F51"/>
  <c r="C39"/>
  <c r="C40"/>
  <c r="C41"/>
  <c r="C42"/>
  <c r="C43"/>
  <c r="C44"/>
  <c r="C45"/>
  <c r="D65" l="1"/>
  <c r="A54"/>
  <c r="B54" s="1"/>
  <c r="G54" s="1"/>
  <c r="D31"/>
  <c r="A22"/>
  <c r="B22" s="1"/>
  <c r="G22" l="1"/>
  <c r="A68" s="1"/>
  <c r="D68" s="1"/>
  <c r="C65"/>
  <c r="G65" s="1"/>
  <c r="H65" s="1"/>
  <c r="I65" s="1"/>
  <c r="G31" l="1"/>
  <c r="H31" s="1"/>
  <c r="I31" s="1"/>
</calcChain>
</file>

<file path=xl/comments1.xml><?xml version="1.0" encoding="utf-8"?>
<comments xmlns="http://schemas.openxmlformats.org/spreadsheetml/2006/main">
  <authors>
    <author>Acer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obtenido en el nomograma del libro Tyler Hicks. Bombas. Pag.173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Tyler Hicks. Bombas pagina 180. 1985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crane. Pagina 176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obtenido en el nomograma planteado en libro de Tyler Hicks. Pag 173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Tyler Hicks. Bombas pagina 180. 1985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crane. Pagina 176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obtenido de la tabla de Tyler Hicks. Bombas. Pag 94</t>
        </r>
      </text>
    </comment>
  </commentList>
</comments>
</file>

<file path=xl/comments2.xml><?xml version="1.0" encoding="utf-8"?>
<comments xmlns="http://schemas.openxmlformats.org/spreadsheetml/2006/main">
  <authors>
    <author>Acer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obtenido en el nomograma del libro Tyler Hicks. Bombas. Pag.173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Tyler Hicks. Bombas pagina 180. 1985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crane. Pagina 176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obtenido en el nomograma planteado en libro de Tyler Hicks. Pag 173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Tyler Hicks. Bombas pagina 180. 1985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extraido del libro crane. Pagina 176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valor obtenido de la tabla de Tyler Hicks. Bombas. Pag 94</t>
        </r>
      </text>
    </comment>
  </commentList>
</comments>
</file>

<file path=xl/sharedStrings.xml><?xml version="1.0" encoding="utf-8"?>
<sst xmlns="http://schemas.openxmlformats.org/spreadsheetml/2006/main" count="257" uniqueCount="81">
  <si>
    <t xml:space="preserve">           LONGITUD, DIAMETRO Y AREA DE LA TUBERÍA </t>
  </si>
  <si>
    <t>Dn(in)</t>
  </si>
  <si>
    <t>Di(m)</t>
  </si>
  <si>
    <t>e (pie)</t>
  </si>
  <si>
    <t>e/d</t>
  </si>
  <si>
    <t>2"</t>
  </si>
  <si>
    <t>3"</t>
  </si>
  <si>
    <t>4"</t>
  </si>
  <si>
    <t>5"</t>
  </si>
  <si>
    <t>6"</t>
  </si>
  <si>
    <t>8"</t>
  </si>
  <si>
    <t>10"</t>
  </si>
  <si>
    <t>12"</t>
  </si>
  <si>
    <t>Propiedades del fluido</t>
  </si>
  <si>
    <t>Viscosidad (cp)</t>
  </si>
  <si>
    <t>Viscosidad (Kg/m*s)</t>
  </si>
  <si>
    <r>
      <t>Densidad (lb/pie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</si>
  <si>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Densidad (Kg/m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</si>
  <si>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Flujo (Kg/min)</t>
  </si>
  <si>
    <t>Flujo (Kg/s)</t>
  </si>
  <si>
    <r>
      <t>Caudal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</t>
    </r>
  </si>
  <si>
    <t>Caudal (gpm)</t>
  </si>
  <si>
    <t>Velocidadreco(m/s)</t>
  </si>
  <si>
    <t>Diámetrocal (m)</t>
  </si>
  <si>
    <t>Velocidad real (m/s)</t>
  </si>
  <si>
    <t>Segundo paso conseguir las pérdidas</t>
  </si>
  <si>
    <t>Reynolds (adim)</t>
  </si>
  <si>
    <t>Fd (adim)</t>
  </si>
  <si>
    <t>Accesorio</t>
  </si>
  <si>
    <t>Cantidad</t>
  </si>
  <si>
    <t>L/D</t>
  </si>
  <si>
    <t>Codo 90º</t>
  </si>
  <si>
    <t>entrada</t>
  </si>
  <si>
    <t>válvula globo</t>
  </si>
  <si>
    <t>VALORES DE COEFIECIENTES DE PERDIDAS Y LONGITUD EQUIVALENTES PARA FLUJO LAMINAR</t>
  </si>
  <si>
    <t>LE/D para laminar</t>
  </si>
  <si>
    <t>k</t>
  </si>
  <si>
    <t>multiplo</t>
  </si>
  <si>
    <t>k para laminar</t>
  </si>
  <si>
    <t>-</t>
  </si>
  <si>
    <r>
      <rPr>
        <sz val="10"/>
        <color theme="1"/>
        <rFont val="Calibri"/>
        <family val="2"/>
      </rPr>
      <t>μ</t>
    </r>
    <r>
      <rPr>
        <sz val="10"/>
        <color theme="1"/>
        <rFont val="Arial"/>
        <family val="2"/>
      </rPr>
      <t xml:space="preserve"> cinematica (centistoke)</t>
    </r>
  </si>
  <si>
    <r>
      <t>densidad (g/cm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</si>
  <si>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Calibri"/>
        <family val="2"/>
      </rPr>
      <t>μ</t>
    </r>
    <r>
      <rPr>
        <sz val="10"/>
        <color theme="1"/>
        <rFont val="Arial"/>
        <family val="2"/>
      </rPr>
      <t xml:space="preserve"> cinematica (SSU)</t>
    </r>
  </si>
  <si>
    <t>factor de corrección (fc)</t>
  </si>
  <si>
    <t>Fc</t>
  </si>
  <si>
    <t>válvula (comp)</t>
  </si>
  <si>
    <t>Total</t>
  </si>
  <si>
    <t>Pérdidas (m)</t>
  </si>
  <si>
    <t>Longitud de tubería (m)</t>
  </si>
  <si>
    <t>Presión de succión</t>
  </si>
  <si>
    <t>Cálculo de la presión de succión (Bernoulli desde la flor del líquido (I) hasta la succión (s)</t>
  </si>
  <si>
    <t>VI (m/s)</t>
  </si>
  <si>
    <t>PI (psig)</t>
  </si>
  <si>
    <t>ZI (m)</t>
  </si>
  <si>
    <t>Vs (m/s)</t>
  </si>
  <si>
    <t>Zs (m)</t>
  </si>
  <si>
    <r>
      <t>Ps( Kgf/m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</si>
  <si>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Ps (psig)</t>
  </si>
  <si>
    <t>Ps (psia)</t>
  </si>
  <si>
    <t>Cálculo de la presión de descarga (Bernoulli desde la descarga (D) hasta la salida (A)</t>
  </si>
  <si>
    <t>Salida</t>
  </si>
  <si>
    <t>Válvula de 3 vías</t>
  </si>
  <si>
    <t>T (paso recto)</t>
  </si>
  <si>
    <t>VD (m/s)</t>
  </si>
  <si>
    <t>ZD (m)</t>
  </si>
  <si>
    <t>PD (psig)</t>
  </si>
  <si>
    <t>VA (m/s)</t>
  </si>
  <si>
    <t>ZA (m)</t>
  </si>
  <si>
    <r>
      <t>PA( Kgf/m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</si>
  <si>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PD (psia)</t>
  </si>
  <si>
    <t>Primer paso conseguir la velocidad y diámetro de la descarga</t>
  </si>
  <si>
    <t xml:space="preserve">Primer paso conseguir la velocidad y diámetro de la succión </t>
  </si>
  <si>
    <t>Hreq (m)</t>
  </si>
  <si>
    <t>NPSHD (m)</t>
  </si>
  <si>
    <t>Ps (Pa)</t>
  </si>
  <si>
    <r>
      <t>Pv(Kgf/m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</si>
  <si>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Ps( Kgf/m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 absoluta</t>
    </r>
  </si>
  <si>
    <t>Válvula de retención</t>
  </si>
  <si>
    <t>Presión de descarga</t>
  </si>
  <si>
    <t>Hp</t>
  </si>
  <si>
    <t>Diámetro establecido (m)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</si>
</sst>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1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8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comments" Target="../comments1.xml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13" Type="http://schemas.openxmlformats.org/officeDocument/2006/relationships/oleObject" Target="../embeddings/oleObject23.bin"/><Relationship Id="rId3" Type="http://schemas.openxmlformats.org/officeDocument/2006/relationships/oleObject" Target="../embeddings/oleObject13.bin"/><Relationship Id="rId7" Type="http://schemas.openxmlformats.org/officeDocument/2006/relationships/oleObject" Target="../embeddings/oleObject17.bin"/><Relationship Id="rId12" Type="http://schemas.openxmlformats.org/officeDocument/2006/relationships/oleObject" Target="../embeddings/oleObject2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6.bin"/><Relationship Id="rId11" Type="http://schemas.openxmlformats.org/officeDocument/2006/relationships/oleObject" Target="../embeddings/oleObject21.bin"/><Relationship Id="rId5" Type="http://schemas.openxmlformats.org/officeDocument/2006/relationships/oleObject" Target="../embeddings/oleObject15.bin"/><Relationship Id="rId15" Type="http://schemas.openxmlformats.org/officeDocument/2006/relationships/comments" Target="../comments2.xml"/><Relationship Id="rId10" Type="http://schemas.openxmlformats.org/officeDocument/2006/relationships/oleObject" Target="../embeddings/oleObject20.bin"/><Relationship Id="rId4" Type="http://schemas.openxmlformats.org/officeDocument/2006/relationships/oleObject" Target="../embeddings/oleObject14.bin"/><Relationship Id="rId9" Type="http://schemas.openxmlformats.org/officeDocument/2006/relationships/oleObject" Target="../embeddings/oleObject19.bin"/><Relationship Id="rId14" Type="http://schemas.openxmlformats.org/officeDocument/2006/relationships/oleObject" Target="../embeddings/oleObject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opLeftCell="A49" workbookViewId="0">
      <selection activeCell="C74" sqref="C74"/>
    </sheetView>
  </sheetViews>
  <sheetFormatPr baseColWidth="10" defaultColWidth="11.42578125" defaultRowHeight="12.75"/>
  <cols>
    <col min="1" max="1" width="15.7109375" style="2" customWidth="1"/>
    <col min="2" max="2" width="11" style="2" customWidth="1"/>
    <col min="3" max="3" width="15.42578125" style="2" customWidth="1"/>
    <col min="4" max="4" width="22" style="2" customWidth="1"/>
    <col min="5" max="5" width="17.140625" style="2" customWidth="1"/>
    <col min="6" max="6" width="22.85546875" style="2" customWidth="1"/>
    <col min="7" max="7" width="25.28515625" style="2" customWidth="1"/>
    <col min="8" max="8" width="18" style="2" customWidth="1"/>
    <col min="9" max="9" width="19.28515625" style="2" customWidth="1"/>
    <col min="10" max="10" width="24.140625" style="2" customWidth="1"/>
    <col min="11" max="16384" width="11.42578125" style="2"/>
  </cols>
  <sheetData>
    <row r="1" spans="1:10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35" t="s">
        <v>0</v>
      </c>
      <c r="B2" s="36"/>
      <c r="C2" s="36"/>
      <c r="D2" s="36"/>
      <c r="E2" s="36"/>
      <c r="F2" s="37"/>
      <c r="G2" s="38" t="s">
        <v>13</v>
      </c>
      <c r="H2" s="38"/>
      <c r="I2" s="38"/>
      <c r="J2" s="38"/>
    </row>
    <row r="3" spans="1:10" ht="14.25">
      <c r="A3" s="3" t="s">
        <v>1</v>
      </c>
      <c r="B3" s="4" t="s">
        <v>2</v>
      </c>
      <c r="C3" s="4"/>
      <c r="D3" s="4"/>
      <c r="E3" s="4" t="s">
        <v>3</v>
      </c>
      <c r="F3" s="4" t="s">
        <v>4</v>
      </c>
      <c r="G3" s="9" t="s">
        <v>14</v>
      </c>
      <c r="H3" s="9" t="s">
        <v>15</v>
      </c>
      <c r="I3" s="9" t="s">
        <v>16</v>
      </c>
      <c r="J3" s="9" t="s">
        <v>17</v>
      </c>
    </row>
    <row r="4" spans="1:10">
      <c r="A4" s="5">
        <v>1</v>
      </c>
      <c r="B4" s="5">
        <v>2.6599999999999999E-2</v>
      </c>
      <c r="C4" s="5">
        <f>(POWER(B4,2)*3.14159/4)</f>
        <v>5.5571585509999995E-4</v>
      </c>
      <c r="D4" s="5">
        <f>3.28083989501*B4</f>
        <v>8.7270341207265997E-2</v>
      </c>
      <c r="E4" s="5">
        <v>1.4999999999999999E-4</v>
      </c>
      <c r="F4" s="5">
        <f>E4/D4</f>
        <v>1.7187969924828393E-3</v>
      </c>
      <c r="G4" s="8">
        <v>3000</v>
      </c>
      <c r="H4" s="8">
        <f>0.001*G4</f>
        <v>3</v>
      </c>
      <c r="I4" s="8">
        <f>J4/16.01846</f>
        <v>60.669377705472307</v>
      </c>
      <c r="J4" s="8">
        <v>971.83</v>
      </c>
    </row>
    <row r="5" spans="1:10" ht="15" customHeight="1">
      <c r="A5" s="5"/>
      <c r="B5" s="5">
        <v>3.5099999999999999E-2</v>
      </c>
      <c r="C5" s="5">
        <f t="shared" ref="C5:C16" si="0">(POWER(B5,2)*3.14159/4)</f>
        <v>9.6761757397499995E-4</v>
      </c>
      <c r="D5" s="5">
        <f t="shared" ref="D5:D16" si="1">3.28083989501*B5</f>
        <v>0.115157480314851</v>
      </c>
      <c r="E5" s="5">
        <v>1.4999999999999999E-4</v>
      </c>
      <c r="F5" s="42">
        <f t="shared" ref="F5:F13" si="2">E5/D5</f>
        <v>1.3025641025653425E-3</v>
      </c>
      <c r="G5" s="52"/>
      <c r="H5" s="52"/>
      <c r="I5" s="52"/>
      <c r="J5" s="52"/>
    </row>
    <row r="6" spans="1:10">
      <c r="A6" s="5"/>
      <c r="B6" s="5">
        <v>4.0899999999999999E-2</v>
      </c>
      <c r="C6" s="5">
        <f t="shared" si="0"/>
        <v>1.3138207919749997E-3</v>
      </c>
      <c r="D6" s="5">
        <f t="shared" si="1"/>
        <v>0.13418635170590901</v>
      </c>
      <c r="E6" s="5">
        <v>1.4999999999999999E-4</v>
      </c>
      <c r="F6" s="42">
        <f t="shared" si="2"/>
        <v>1.1178484107590102E-3</v>
      </c>
      <c r="G6" s="53"/>
      <c r="H6" s="53"/>
      <c r="I6" s="52"/>
      <c r="J6" s="52"/>
    </row>
    <row r="7" spans="1:10">
      <c r="A7" s="5" t="s">
        <v>5</v>
      </c>
      <c r="B7" s="5">
        <f>5.25/100</f>
        <v>5.2499999999999998E-2</v>
      </c>
      <c r="C7" s="5">
        <f t="shared" si="0"/>
        <v>2.1647518593749995E-3</v>
      </c>
      <c r="D7" s="5">
        <f t="shared" si="1"/>
        <v>0.172244094488025</v>
      </c>
      <c r="E7" s="5">
        <v>1.4999999999999999E-4</v>
      </c>
      <c r="F7" s="42">
        <f t="shared" si="2"/>
        <v>8.7085714285797182E-4</v>
      </c>
      <c r="G7" s="53"/>
      <c r="H7" s="53"/>
      <c r="I7" s="54"/>
      <c r="J7" s="54"/>
    </row>
    <row r="8" spans="1:10">
      <c r="A8" s="5"/>
      <c r="B8" s="5">
        <f>6.271/100</f>
        <v>6.2710000000000002E-2</v>
      </c>
      <c r="C8" s="5">
        <f t="shared" si="0"/>
        <v>3.0886103047797499E-3</v>
      </c>
      <c r="D8" s="5">
        <f t="shared" si="1"/>
        <v>0.2057414698160771</v>
      </c>
      <c r="E8" s="5">
        <v>1.4999999999999999E-4</v>
      </c>
      <c r="F8" s="42">
        <f t="shared" si="2"/>
        <v>7.2907032371302054E-4</v>
      </c>
      <c r="G8" s="53"/>
      <c r="H8" s="54"/>
      <c r="I8" s="54"/>
      <c r="J8" s="54"/>
    </row>
    <row r="9" spans="1:10">
      <c r="A9" s="5" t="s">
        <v>6</v>
      </c>
      <c r="B9" s="5">
        <f>7.793/100</f>
        <v>7.7929999999999999E-2</v>
      </c>
      <c r="C9" s="5">
        <f t="shared" si="0"/>
        <v>4.7697856977477497E-3</v>
      </c>
      <c r="D9" s="5">
        <f t="shared" si="1"/>
        <v>0.25567585301812928</v>
      </c>
      <c r="E9" s="5">
        <v>1.4999999999999999E-4</v>
      </c>
      <c r="F9" s="42">
        <f t="shared" si="2"/>
        <v>5.8668035416455187E-4</v>
      </c>
      <c r="G9" s="53"/>
      <c r="H9" s="54"/>
      <c r="I9" s="55"/>
      <c r="J9" s="54"/>
    </row>
    <row r="10" spans="1:10">
      <c r="A10" s="5"/>
      <c r="B10" s="5">
        <f>9.012/100</f>
        <v>9.0120000000000006E-2</v>
      </c>
      <c r="C10" s="5">
        <f t="shared" si="0"/>
        <v>6.3786956457240005E-3</v>
      </c>
      <c r="D10" s="5">
        <f t="shared" si="1"/>
        <v>0.29566929133830122</v>
      </c>
      <c r="E10" s="5">
        <v>1.4999999999999999E-4</v>
      </c>
      <c r="F10" s="42">
        <f t="shared" si="2"/>
        <v>5.0732356857571587E-4</v>
      </c>
      <c r="G10" s="53"/>
      <c r="H10" s="54"/>
      <c r="I10" s="55"/>
      <c r="J10" s="54"/>
    </row>
    <row r="11" spans="1:10">
      <c r="A11" s="5" t="s">
        <v>7</v>
      </c>
      <c r="B11" s="5">
        <f>10.226/100</f>
        <v>0.10226</v>
      </c>
      <c r="C11" s="5">
        <f t="shared" si="0"/>
        <v>8.2129861662710007E-3</v>
      </c>
      <c r="D11" s="5">
        <f t="shared" si="1"/>
        <v>0.33549868766372265</v>
      </c>
      <c r="E11" s="5">
        <v>1.4999999999999999E-4</v>
      </c>
      <c r="F11" s="42">
        <f t="shared" si="2"/>
        <v>4.470956385687807E-4</v>
      </c>
      <c r="G11" s="53"/>
      <c r="H11" s="54"/>
      <c r="I11" s="54"/>
      <c r="J11" s="54"/>
    </row>
    <row r="12" spans="1:10">
      <c r="A12" s="5" t="s">
        <v>8</v>
      </c>
      <c r="B12" s="5">
        <f>12.819/100</f>
        <v>0.12819</v>
      </c>
      <c r="C12" s="5">
        <f t="shared" si="0"/>
        <v>1.2906182727249749E-2</v>
      </c>
      <c r="D12" s="5">
        <f t="shared" si="1"/>
        <v>0.42057086614133193</v>
      </c>
      <c r="E12" s="5">
        <v>1.4999999999999999E-4</v>
      </c>
      <c r="F12" s="42">
        <f t="shared" si="2"/>
        <v>3.5665808565444668E-4</v>
      </c>
      <c r="G12" s="53"/>
      <c r="H12" s="54"/>
      <c r="I12" s="54"/>
      <c r="J12" s="54"/>
    </row>
    <row r="13" spans="1:10">
      <c r="A13" s="5" t="s">
        <v>9</v>
      </c>
      <c r="B13" s="5">
        <f>15.405/100</f>
        <v>0.15404999999999999</v>
      </c>
      <c r="C13" s="5">
        <f t="shared" si="0"/>
        <v>1.8638584194993747E-2</v>
      </c>
      <c r="D13" s="5">
        <f t="shared" si="1"/>
        <v>0.50541338582629047</v>
      </c>
      <c r="E13" s="5">
        <v>1.4999999999999999E-4</v>
      </c>
      <c r="F13" s="42">
        <f t="shared" si="2"/>
        <v>2.9678675754653375E-4</v>
      </c>
      <c r="G13" s="53"/>
      <c r="H13" s="54"/>
      <c r="I13" s="54"/>
      <c r="J13" s="54"/>
    </row>
    <row r="14" spans="1:10">
      <c r="A14" s="5" t="s">
        <v>10</v>
      </c>
      <c r="B14" s="5">
        <v>0.20272000000000001</v>
      </c>
      <c r="C14" s="5">
        <f t="shared" si="0"/>
        <v>3.2276223164864004E-2</v>
      </c>
      <c r="D14" s="5">
        <f t="shared" si="1"/>
        <v>0.66509186351642724</v>
      </c>
      <c r="E14" s="5">
        <v>1.4999999999999999E-4</v>
      </c>
      <c r="F14" s="42">
        <f>E14/D14</f>
        <v>2.2553275453849407E-4</v>
      </c>
      <c r="G14" s="56"/>
      <c r="H14" s="56"/>
      <c r="I14" s="52"/>
      <c r="J14" s="52"/>
    </row>
    <row r="15" spans="1:10">
      <c r="A15" s="5" t="s">
        <v>11</v>
      </c>
      <c r="B15" s="5">
        <v>0.25451000000000001</v>
      </c>
      <c r="C15" s="5">
        <f t="shared" si="0"/>
        <v>5.0874390176189756E-2</v>
      </c>
      <c r="D15" s="5">
        <f t="shared" si="1"/>
        <v>0.83500656167899523</v>
      </c>
      <c r="E15" s="5">
        <v>1.4999999999999999E-4</v>
      </c>
      <c r="F15" s="5">
        <f>E15/D15</f>
        <v>1.7963930690363252E-4</v>
      </c>
      <c r="G15" s="43" t="s">
        <v>48</v>
      </c>
      <c r="H15" s="27">
        <v>0.5</v>
      </c>
      <c r="I15" s="26"/>
      <c r="J15" s="26"/>
    </row>
    <row r="16" spans="1:10">
      <c r="A16" s="5" t="s">
        <v>12</v>
      </c>
      <c r="B16" s="5">
        <v>0.30323</v>
      </c>
      <c r="C16" s="5">
        <f t="shared" si="0"/>
        <v>7.2216069328577742E-2</v>
      </c>
      <c r="D16" s="5">
        <f t="shared" si="1"/>
        <v>0.99484908136388239</v>
      </c>
      <c r="E16" s="5">
        <v>1.4999999999999999E-4</v>
      </c>
      <c r="F16" s="5">
        <f>E16/D16</f>
        <v>1.5077663819557273E-4</v>
      </c>
    </row>
    <row r="17" spans="1:9">
      <c r="A17" s="28" t="s">
        <v>71</v>
      </c>
      <c r="B17" s="29"/>
      <c r="C17" s="29"/>
      <c r="D17" s="29"/>
      <c r="E17" s="29"/>
      <c r="F17" s="29"/>
      <c r="G17" s="29"/>
      <c r="H17" s="30"/>
    </row>
    <row r="18" spans="1:9" ht="14.25">
      <c r="A18" s="6" t="s">
        <v>18</v>
      </c>
      <c r="B18" s="6" t="s">
        <v>19</v>
      </c>
      <c r="C18" s="6" t="s">
        <v>20</v>
      </c>
      <c r="D18" s="6" t="s">
        <v>21</v>
      </c>
      <c r="E18" s="6" t="s">
        <v>22</v>
      </c>
      <c r="F18" s="6" t="s">
        <v>23</v>
      </c>
      <c r="G18" s="27" t="s">
        <v>80</v>
      </c>
      <c r="H18" s="6" t="s">
        <v>24</v>
      </c>
    </row>
    <row r="19" spans="1:9">
      <c r="A19" s="6">
        <v>100</v>
      </c>
      <c r="B19" s="6">
        <f>A19/60</f>
        <v>1.6666666666666667</v>
      </c>
      <c r="C19" s="6">
        <f>B19/J4</f>
        <v>1.7149775852429608E-3</v>
      </c>
      <c r="D19" s="6">
        <f>(A19/J4)*264.20079</f>
        <v>27.185905971208953</v>
      </c>
      <c r="E19" s="6">
        <v>0.105</v>
      </c>
      <c r="F19" s="6">
        <f>SQRT((4*(C19/E19))/PI())</f>
        <v>0.14420809302518212</v>
      </c>
      <c r="G19" s="6">
        <f>B7</f>
        <v>5.2499999999999998E-2</v>
      </c>
      <c r="H19" s="6">
        <f>(C19/C7)</f>
        <v>0.79222825369837258</v>
      </c>
    </row>
    <row r="20" spans="1:9">
      <c r="A20" s="31" t="s">
        <v>25</v>
      </c>
      <c r="B20" s="31"/>
      <c r="C20" s="31"/>
      <c r="D20" s="31"/>
      <c r="E20" s="31"/>
      <c r="F20" s="31"/>
      <c r="G20" s="31"/>
      <c r="H20" s="31"/>
    </row>
    <row r="21" spans="1:9" ht="14.25">
      <c r="A21" s="6" t="s">
        <v>26</v>
      </c>
      <c r="B21" s="6" t="s">
        <v>27</v>
      </c>
      <c r="C21" s="15" t="s">
        <v>41</v>
      </c>
      <c r="D21" s="15" t="s">
        <v>40</v>
      </c>
      <c r="E21" s="15" t="s">
        <v>42</v>
      </c>
      <c r="F21" s="6" t="s">
        <v>44</v>
      </c>
      <c r="G21" s="6" t="s">
        <v>47</v>
      </c>
    </row>
    <row r="22" spans="1:9">
      <c r="A22" s="6">
        <f>(H19*G19*J4)/H4</f>
        <v>13.473445716354567</v>
      </c>
      <c r="B22" s="6">
        <f>64/A22</f>
        <v>4.7500840799999979</v>
      </c>
      <c r="C22" s="6">
        <f>J4*0.001</f>
        <v>0.97183000000000008</v>
      </c>
      <c r="D22" s="6">
        <f>G4/C22</f>
        <v>3086.9596534373295</v>
      </c>
      <c r="E22" s="22">
        <f>D22*4.6347</f>
        <v>14307.131905785989</v>
      </c>
      <c r="F22" s="6">
        <v>0.5</v>
      </c>
      <c r="G22" s="6">
        <f>((POWER(H19,2))/(2*9.8))*(B22*((H15/G19)+E28)+H28)</f>
        <v>3.7801684411267313</v>
      </c>
    </row>
    <row r="23" spans="1:9" ht="15">
      <c r="A23" s="32" t="s">
        <v>34</v>
      </c>
      <c r="B23" s="33"/>
      <c r="C23" s="33"/>
      <c r="D23" s="33"/>
      <c r="E23" s="33"/>
      <c r="F23" s="33"/>
      <c r="G23" s="33"/>
      <c r="H23" s="34"/>
    </row>
    <row r="24" spans="1:9" ht="15">
      <c r="A24" s="14" t="s">
        <v>28</v>
      </c>
      <c r="B24" s="14" t="s">
        <v>29</v>
      </c>
      <c r="C24" s="14" t="s">
        <v>30</v>
      </c>
      <c r="D24" s="13" t="s">
        <v>43</v>
      </c>
      <c r="E24" s="14" t="s">
        <v>35</v>
      </c>
      <c r="F24" s="14" t="s">
        <v>36</v>
      </c>
      <c r="G24" s="7" t="s">
        <v>37</v>
      </c>
      <c r="H24" s="7" t="s">
        <v>38</v>
      </c>
    </row>
    <row r="25" spans="1:9" ht="15">
      <c r="A25" s="13" t="s">
        <v>31</v>
      </c>
      <c r="B25" s="1">
        <v>1</v>
      </c>
      <c r="C25" s="1">
        <v>30</v>
      </c>
      <c r="D25" s="1">
        <f>$F$22</f>
        <v>0.5</v>
      </c>
      <c r="E25" s="1">
        <f>C25*D25*B25</f>
        <v>15</v>
      </c>
      <c r="F25" s="1"/>
      <c r="G25" s="5" t="s">
        <v>39</v>
      </c>
      <c r="H25" s="5"/>
    </row>
    <row r="26" spans="1:9" ht="15">
      <c r="A26" s="13" t="s">
        <v>32</v>
      </c>
      <c r="B26" s="1">
        <v>1</v>
      </c>
      <c r="C26" s="1"/>
      <c r="D26" s="1">
        <f>$F$22</f>
        <v>0.5</v>
      </c>
      <c r="E26" s="1"/>
      <c r="F26" s="1">
        <v>0.78</v>
      </c>
      <c r="G26" s="5">
        <v>2</v>
      </c>
      <c r="H26" s="5">
        <f>F26*G26*B26</f>
        <v>1.56</v>
      </c>
    </row>
    <row r="27" spans="1:9" ht="15">
      <c r="A27" s="13" t="s">
        <v>45</v>
      </c>
      <c r="B27" s="1">
        <v>0</v>
      </c>
      <c r="C27" s="1">
        <v>13</v>
      </c>
      <c r="D27" s="1">
        <f>$F$22</f>
        <v>0.5</v>
      </c>
      <c r="E27" s="1">
        <f>C27*D27*B27</f>
        <v>0</v>
      </c>
      <c r="F27" s="1"/>
      <c r="G27" s="5"/>
      <c r="H27" s="5"/>
    </row>
    <row r="28" spans="1:9" ht="15">
      <c r="A28" s="13" t="s">
        <v>46</v>
      </c>
      <c r="B28" s="1"/>
      <c r="C28" s="1"/>
      <c r="D28" s="1"/>
      <c r="E28" s="1">
        <f>SUM(E25:E27)</f>
        <v>15</v>
      </c>
      <c r="F28" s="1"/>
      <c r="G28" s="5"/>
      <c r="H28" s="5">
        <f>H26</f>
        <v>1.56</v>
      </c>
    </row>
    <row r="29" spans="1:9">
      <c r="A29" s="31" t="s">
        <v>49</v>
      </c>
      <c r="B29" s="31"/>
      <c r="C29" s="31"/>
      <c r="D29" s="31"/>
      <c r="E29" s="31"/>
      <c r="F29" s="31"/>
      <c r="G29" s="31"/>
      <c r="H29" s="31"/>
    </row>
    <row r="30" spans="1:9" ht="14.25">
      <c r="A30" s="16" t="s">
        <v>51</v>
      </c>
      <c r="B30" s="16" t="s">
        <v>53</v>
      </c>
      <c r="C30" s="16" t="s">
        <v>52</v>
      </c>
      <c r="D30" s="16" t="s">
        <v>54</v>
      </c>
      <c r="E30" s="16" t="s">
        <v>55</v>
      </c>
      <c r="F30" s="16" t="s">
        <v>56</v>
      </c>
      <c r="G30" s="6" t="s">
        <v>57</v>
      </c>
      <c r="H30" s="6" t="s">
        <v>58</v>
      </c>
      <c r="I30" s="16" t="s">
        <v>76</v>
      </c>
    </row>
    <row r="31" spans="1:9" ht="15">
      <c r="A31" s="17">
        <v>0</v>
      </c>
      <c r="B31" s="18">
        <v>1</v>
      </c>
      <c r="C31" s="18">
        <v>0</v>
      </c>
      <c r="D31" s="18">
        <f>H19</f>
        <v>0.79222825369837258</v>
      </c>
      <c r="E31" s="18">
        <v>0</v>
      </c>
      <c r="F31" s="18">
        <f>$J$4*(B31-(POWER(D31,2)/(2*9.8))-$G$22)</f>
        <v>-2732.9707590298922</v>
      </c>
      <c r="G31" s="6">
        <f>F31*(14.6951/10331.9272)</f>
        <v>-3.887104295607132</v>
      </c>
      <c r="H31" s="6">
        <f>14.6951+G31</f>
        <v>10.807995704392868</v>
      </c>
      <c r="I31" s="6">
        <f>H31*(10331.9272/14.6951)</f>
        <v>7598.956440970107</v>
      </c>
    </row>
    <row r="32" spans="1:9" ht="15">
      <c r="A32" s="11"/>
      <c r="B32" s="12"/>
      <c r="C32" s="12"/>
      <c r="D32" s="12"/>
      <c r="E32" s="12"/>
      <c r="F32" s="12"/>
    </row>
    <row r="33" spans="1:10">
      <c r="A33" s="31" t="s">
        <v>59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>
      <c r="A34" s="35" t="s">
        <v>0</v>
      </c>
      <c r="B34" s="36"/>
      <c r="C34" s="36"/>
      <c r="D34" s="36"/>
      <c r="E34" s="36"/>
      <c r="F34" s="37"/>
      <c r="G34" s="38" t="s">
        <v>13</v>
      </c>
      <c r="H34" s="38"/>
      <c r="I34" s="38"/>
      <c r="J34" s="38"/>
    </row>
    <row r="35" spans="1:10" ht="14.25">
      <c r="A35" s="3" t="s">
        <v>1</v>
      </c>
      <c r="B35" s="4" t="s">
        <v>2</v>
      </c>
      <c r="C35" s="4"/>
      <c r="D35" s="4"/>
      <c r="E35" s="4" t="s">
        <v>3</v>
      </c>
      <c r="F35" s="4" t="s">
        <v>4</v>
      </c>
      <c r="G35" s="9" t="s">
        <v>14</v>
      </c>
      <c r="H35" s="9" t="s">
        <v>15</v>
      </c>
      <c r="I35" s="9" t="s">
        <v>16</v>
      </c>
      <c r="J35" s="9" t="s">
        <v>17</v>
      </c>
    </row>
    <row r="36" spans="1:10">
      <c r="A36" s="5">
        <v>1</v>
      </c>
      <c r="B36" s="5">
        <v>2.6599999999999999E-2</v>
      </c>
      <c r="C36" s="5">
        <f>(POWER(B36,2)*3.14159/4)</f>
        <v>5.5571585509999995E-4</v>
      </c>
      <c r="D36" s="5">
        <f>3.28083989501*B36</f>
        <v>8.7270341207265997E-2</v>
      </c>
      <c r="E36" s="5">
        <v>1.4999999999999999E-4</v>
      </c>
      <c r="F36" s="5">
        <f>E36/D36</f>
        <v>1.7187969924828393E-3</v>
      </c>
      <c r="G36" s="51">
        <v>3000</v>
      </c>
      <c r="H36" s="51">
        <f>0.001*G36</f>
        <v>3</v>
      </c>
      <c r="I36" s="51">
        <f>J36/16.01846</f>
        <v>60.669377705472307</v>
      </c>
      <c r="J36" s="51">
        <v>971.83</v>
      </c>
    </row>
    <row r="37" spans="1:10">
      <c r="A37" s="5"/>
      <c r="B37" s="5">
        <v>3.5099999999999999E-2</v>
      </c>
      <c r="C37" s="5">
        <f t="shared" ref="C37:C48" si="3">(POWER(B37,2)*3.14159/4)</f>
        <v>9.6761757397499995E-4</v>
      </c>
      <c r="D37" s="5">
        <f t="shared" ref="D37:D48" si="4">3.28083989501*B37</f>
        <v>0.115157480314851</v>
      </c>
      <c r="E37" s="5">
        <v>1.4999999999999999E-4</v>
      </c>
      <c r="F37" s="42">
        <f t="shared" ref="F37:F45" si="5">E37/D37</f>
        <v>1.3025641025653425E-3</v>
      </c>
      <c r="G37" s="52"/>
      <c r="H37" s="52"/>
      <c r="I37" s="52"/>
      <c r="J37" s="52"/>
    </row>
    <row r="38" spans="1:10">
      <c r="A38" s="5"/>
      <c r="B38" s="5">
        <v>4.0899999999999999E-2</v>
      </c>
      <c r="C38" s="5">
        <f t="shared" si="3"/>
        <v>1.3138207919749997E-3</v>
      </c>
      <c r="D38" s="5">
        <f t="shared" si="4"/>
        <v>0.13418635170590901</v>
      </c>
      <c r="E38" s="5">
        <v>1.4999999999999999E-4</v>
      </c>
      <c r="F38" s="42">
        <f t="shared" si="5"/>
        <v>1.1178484107590102E-3</v>
      </c>
      <c r="G38" s="53"/>
      <c r="H38" s="53"/>
      <c r="I38" s="52"/>
      <c r="J38" s="52"/>
    </row>
    <row r="39" spans="1:10">
      <c r="A39" s="5" t="s">
        <v>5</v>
      </c>
      <c r="B39" s="5">
        <f>5.25/100</f>
        <v>5.2499999999999998E-2</v>
      </c>
      <c r="C39" s="5">
        <f t="shared" si="3"/>
        <v>2.1647518593749995E-3</v>
      </c>
      <c r="D39" s="5">
        <f t="shared" si="4"/>
        <v>0.172244094488025</v>
      </c>
      <c r="E39" s="5">
        <v>1.4999999999999999E-4</v>
      </c>
      <c r="F39" s="42">
        <f t="shared" si="5"/>
        <v>8.7085714285797182E-4</v>
      </c>
      <c r="G39" s="53"/>
      <c r="H39" s="53"/>
      <c r="I39" s="54"/>
      <c r="J39" s="54"/>
    </row>
    <row r="40" spans="1:10">
      <c r="A40" s="5"/>
      <c r="B40" s="5">
        <f>6.271/100</f>
        <v>6.2710000000000002E-2</v>
      </c>
      <c r="C40" s="5">
        <f t="shared" si="3"/>
        <v>3.0886103047797499E-3</v>
      </c>
      <c r="D40" s="5">
        <f t="shared" si="4"/>
        <v>0.2057414698160771</v>
      </c>
      <c r="E40" s="5">
        <v>1.4999999999999999E-4</v>
      </c>
      <c r="F40" s="42">
        <f t="shared" si="5"/>
        <v>7.2907032371302054E-4</v>
      </c>
      <c r="G40" s="53"/>
      <c r="H40" s="54"/>
      <c r="I40" s="54"/>
      <c r="J40" s="54"/>
    </row>
    <row r="41" spans="1:10">
      <c r="A41" s="5" t="s">
        <v>6</v>
      </c>
      <c r="B41" s="5">
        <f>7.793/100</f>
        <v>7.7929999999999999E-2</v>
      </c>
      <c r="C41" s="5">
        <f t="shared" si="3"/>
        <v>4.7697856977477497E-3</v>
      </c>
      <c r="D41" s="5">
        <f t="shared" si="4"/>
        <v>0.25567585301812928</v>
      </c>
      <c r="E41" s="5">
        <v>1.4999999999999999E-4</v>
      </c>
      <c r="F41" s="42">
        <f t="shared" si="5"/>
        <v>5.8668035416455187E-4</v>
      </c>
      <c r="G41" s="53"/>
      <c r="H41" s="54"/>
      <c r="I41" s="55"/>
      <c r="J41" s="54"/>
    </row>
    <row r="42" spans="1:10">
      <c r="A42" s="5"/>
      <c r="B42" s="5">
        <f>9.012/100</f>
        <v>9.0120000000000006E-2</v>
      </c>
      <c r="C42" s="5">
        <f t="shared" si="3"/>
        <v>6.3786956457240005E-3</v>
      </c>
      <c r="D42" s="5">
        <f t="shared" si="4"/>
        <v>0.29566929133830122</v>
      </c>
      <c r="E42" s="5">
        <v>1.4999999999999999E-4</v>
      </c>
      <c r="F42" s="42">
        <f t="shared" si="5"/>
        <v>5.0732356857571587E-4</v>
      </c>
      <c r="G42" s="53"/>
      <c r="H42" s="54"/>
      <c r="I42" s="55"/>
      <c r="J42" s="54"/>
    </row>
    <row r="43" spans="1:10">
      <c r="A43" s="5" t="s">
        <v>7</v>
      </c>
      <c r="B43" s="5">
        <f>10.226/100</f>
        <v>0.10226</v>
      </c>
      <c r="C43" s="5">
        <f t="shared" si="3"/>
        <v>8.2129861662710007E-3</v>
      </c>
      <c r="D43" s="5">
        <f t="shared" si="4"/>
        <v>0.33549868766372265</v>
      </c>
      <c r="E43" s="5">
        <v>1.4999999999999999E-4</v>
      </c>
      <c r="F43" s="42">
        <f t="shared" si="5"/>
        <v>4.470956385687807E-4</v>
      </c>
      <c r="G43" s="53"/>
      <c r="H43" s="54"/>
      <c r="I43" s="54"/>
      <c r="J43" s="54"/>
    </row>
    <row r="44" spans="1:10">
      <c r="A44" s="5" t="s">
        <v>8</v>
      </c>
      <c r="B44" s="5">
        <f>12.819/100</f>
        <v>0.12819</v>
      </c>
      <c r="C44" s="5">
        <f t="shared" si="3"/>
        <v>1.2906182727249749E-2</v>
      </c>
      <c r="D44" s="5">
        <f t="shared" si="4"/>
        <v>0.42057086614133193</v>
      </c>
      <c r="E44" s="5">
        <v>1.4999999999999999E-4</v>
      </c>
      <c r="F44" s="42">
        <f t="shared" si="5"/>
        <v>3.5665808565444668E-4</v>
      </c>
      <c r="G44" s="53"/>
      <c r="H44" s="54"/>
      <c r="I44" s="54"/>
      <c r="J44" s="54"/>
    </row>
    <row r="45" spans="1:10">
      <c r="A45" s="5" t="s">
        <v>9</v>
      </c>
      <c r="B45" s="5">
        <f>15.405/100</f>
        <v>0.15404999999999999</v>
      </c>
      <c r="C45" s="5">
        <f t="shared" si="3"/>
        <v>1.8638584194993747E-2</v>
      </c>
      <c r="D45" s="5">
        <f t="shared" si="4"/>
        <v>0.50541338582629047</v>
      </c>
      <c r="E45" s="5">
        <v>1.4999999999999999E-4</v>
      </c>
      <c r="F45" s="42">
        <f t="shared" si="5"/>
        <v>2.9678675754653375E-4</v>
      </c>
      <c r="G45" s="53"/>
      <c r="H45" s="54"/>
      <c r="I45" s="54"/>
      <c r="J45" s="54"/>
    </row>
    <row r="46" spans="1:10">
      <c r="A46" s="5" t="s">
        <v>10</v>
      </c>
      <c r="B46" s="5">
        <v>0.20272000000000001</v>
      </c>
      <c r="C46" s="5">
        <f t="shared" si="3"/>
        <v>3.2276223164864004E-2</v>
      </c>
      <c r="D46" s="5">
        <f t="shared" si="4"/>
        <v>0.66509186351642724</v>
      </c>
      <c r="E46" s="5">
        <v>1.4999999999999999E-4</v>
      </c>
      <c r="F46" s="42">
        <f>E46/D46</f>
        <v>2.2553275453849407E-4</v>
      </c>
      <c r="G46" s="56"/>
      <c r="H46" s="56"/>
      <c r="I46" s="52"/>
      <c r="J46" s="52"/>
    </row>
    <row r="47" spans="1:10">
      <c r="A47" s="5" t="s">
        <v>11</v>
      </c>
      <c r="B47" s="5">
        <v>0.25451000000000001</v>
      </c>
      <c r="C47" s="5">
        <f t="shared" si="3"/>
        <v>5.0874390176189756E-2</v>
      </c>
      <c r="D47" s="5">
        <f t="shared" si="4"/>
        <v>0.83500656167899523</v>
      </c>
      <c r="E47" s="5">
        <v>1.4999999999999999E-4</v>
      </c>
      <c r="F47" s="5">
        <f>E47/D47</f>
        <v>1.7963930690363252E-4</v>
      </c>
      <c r="G47" s="43" t="s">
        <v>48</v>
      </c>
      <c r="H47" s="57">
        <v>13</v>
      </c>
      <c r="I47" s="58"/>
      <c r="J47" s="26"/>
    </row>
    <row r="48" spans="1:10">
      <c r="A48" s="5" t="s">
        <v>12</v>
      </c>
      <c r="B48" s="5">
        <v>0.30323</v>
      </c>
      <c r="C48" s="5">
        <f t="shared" si="3"/>
        <v>7.2216069328577742E-2</v>
      </c>
      <c r="D48" s="5">
        <f t="shared" si="4"/>
        <v>0.99484908136388239</v>
      </c>
      <c r="E48" s="5">
        <v>1.4999999999999999E-4</v>
      </c>
      <c r="F48" s="5">
        <f>E48/D48</f>
        <v>1.5077663819557273E-4</v>
      </c>
    </row>
    <row r="49" spans="1:9">
      <c r="A49" s="28" t="s">
        <v>70</v>
      </c>
      <c r="B49" s="29"/>
      <c r="C49" s="29"/>
      <c r="D49" s="29"/>
      <c r="E49" s="29"/>
      <c r="F49" s="29"/>
      <c r="G49" s="29"/>
      <c r="H49" s="30"/>
    </row>
    <row r="50" spans="1:9" ht="14.25">
      <c r="A50" s="6" t="s">
        <v>18</v>
      </c>
      <c r="B50" s="6" t="s">
        <v>19</v>
      </c>
      <c r="C50" s="6" t="s">
        <v>20</v>
      </c>
      <c r="D50" s="6" t="s">
        <v>21</v>
      </c>
      <c r="E50" s="6" t="s">
        <v>22</v>
      </c>
      <c r="F50" s="6" t="s">
        <v>23</v>
      </c>
      <c r="G50" s="27" t="s">
        <v>80</v>
      </c>
      <c r="H50" s="6" t="s">
        <v>24</v>
      </c>
    </row>
    <row r="51" spans="1:9">
      <c r="A51" s="6">
        <v>100</v>
      </c>
      <c r="B51" s="6">
        <f>A51/60</f>
        <v>1.6666666666666667</v>
      </c>
      <c r="C51" s="6">
        <f>B51/J36</f>
        <v>1.7149775852429608E-3</v>
      </c>
      <c r="D51" s="6">
        <f>(A51/J36)*264.20079</f>
        <v>27.185905971208953</v>
      </c>
      <c r="E51" s="6">
        <v>0.2</v>
      </c>
      <c r="F51" s="6">
        <f>SQRT((4*(C51/E51))/PI())</f>
        <v>0.10448869029387237</v>
      </c>
      <c r="G51" s="6">
        <f>B39</f>
        <v>5.2499999999999998E-2</v>
      </c>
      <c r="H51" s="6">
        <f>(C51/C39)</f>
        <v>0.79222825369837258</v>
      </c>
    </row>
    <row r="52" spans="1:9">
      <c r="A52" s="31" t="s">
        <v>25</v>
      </c>
      <c r="B52" s="31"/>
      <c r="C52" s="31"/>
      <c r="D52" s="31"/>
      <c r="E52" s="31"/>
      <c r="F52" s="31"/>
      <c r="G52" s="31"/>
      <c r="H52" s="31"/>
    </row>
    <row r="53" spans="1:9" ht="14.25">
      <c r="A53" s="6" t="s">
        <v>26</v>
      </c>
      <c r="B53" s="6" t="s">
        <v>27</v>
      </c>
      <c r="C53" s="15" t="s">
        <v>41</v>
      </c>
      <c r="D53" s="15" t="s">
        <v>40</v>
      </c>
      <c r="E53" s="15" t="s">
        <v>42</v>
      </c>
      <c r="F53" s="6" t="s">
        <v>44</v>
      </c>
      <c r="G53" s="6" t="s">
        <v>47</v>
      </c>
    </row>
    <row r="54" spans="1:9">
      <c r="A54" s="6">
        <f>(H51*G51*J36)/H36</f>
        <v>13.473445716354567</v>
      </c>
      <c r="B54" s="6">
        <f>64/A54</f>
        <v>4.7500840799999979</v>
      </c>
      <c r="C54" s="6">
        <f>J36*0.001</f>
        <v>0.97183000000000008</v>
      </c>
      <c r="D54" s="6">
        <f>G36/C54</f>
        <v>3086.9596534373295</v>
      </c>
      <c r="E54" s="22">
        <f>D54*4.6347</f>
        <v>14307.131905785989</v>
      </c>
      <c r="F54" s="22">
        <v>0.5</v>
      </c>
      <c r="G54" s="6">
        <f>((POWER(H51,2))/(2*9.8))*(B54*((H47/G51)+E62)+H62)</f>
        <v>94.007505420980422</v>
      </c>
    </row>
    <row r="55" spans="1:9" ht="15">
      <c r="A55" s="32" t="s">
        <v>34</v>
      </c>
      <c r="B55" s="33"/>
      <c r="C55" s="33"/>
      <c r="D55" s="33"/>
      <c r="E55" s="33"/>
      <c r="F55" s="33"/>
      <c r="G55" s="33"/>
      <c r="H55" s="34"/>
    </row>
    <row r="56" spans="1:9" ht="15">
      <c r="A56" s="14" t="s">
        <v>28</v>
      </c>
      <c r="B56" s="14" t="s">
        <v>29</v>
      </c>
      <c r="C56" s="14" t="s">
        <v>30</v>
      </c>
      <c r="D56" s="13" t="s">
        <v>43</v>
      </c>
      <c r="E56" s="14" t="s">
        <v>35</v>
      </c>
      <c r="F56" s="14" t="s">
        <v>36</v>
      </c>
      <c r="G56" s="7" t="s">
        <v>37</v>
      </c>
      <c r="H56" s="7" t="s">
        <v>38</v>
      </c>
    </row>
    <row r="57" spans="1:9" ht="15">
      <c r="A57" s="13" t="s">
        <v>31</v>
      </c>
      <c r="B57" s="1">
        <v>4</v>
      </c>
      <c r="C57" s="1">
        <v>30</v>
      </c>
      <c r="D57" s="1">
        <f>$F$54</f>
        <v>0.5</v>
      </c>
      <c r="E57" s="1">
        <f>C57*D57*B57</f>
        <v>60</v>
      </c>
      <c r="F57" s="1"/>
      <c r="G57" s="5" t="s">
        <v>39</v>
      </c>
      <c r="H57" s="5"/>
    </row>
    <row r="58" spans="1:9" ht="15">
      <c r="A58" s="13" t="s">
        <v>60</v>
      </c>
      <c r="B58" s="1">
        <v>1</v>
      </c>
      <c r="C58" s="1"/>
      <c r="D58" s="1">
        <f>$F$54</f>
        <v>0.5</v>
      </c>
      <c r="E58" s="1">
        <f>C58*D58*B58</f>
        <v>0</v>
      </c>
      <c r="F58" s="1">
        <v>1</v>
      </c>
      <c r="G58" s="5">
        <v>2</v>
      </c>
      <c r="H58" s="5">
        <f>F58*G58</f>
        <v>2</v>
      </c>
    </row>
    <row r="59" spans="1:9" ht="15">
      <c r="A59" s="13" t="s">
        <v>33</v>
      </c>
      <c r="B59" s="1">
        <v>1</v>
      </c>
      <c r="C59" s="1">
        <v>340</v>
      </c>
      <c r="D59" s="1">
        <f>$F$54</f>
        <v>0.5</v>
      </c>
      <c r="E59" s="1">
        <f>C59*D59*B59</f>
        <v>170</v>
      </c>
      <c r="F59" s="1"/>
      <c r="G59" s="5">
        <v>2</v>
      </c>
      <c r="H59" s="5">
        <f>F59*G59</f>
        <v>0</v>
      </c>
    </row>
    <row r="60" spans="1:9" ht="15">
      <c r="A60" s="13" t="s">
        <v>61</v>
      </c>
      <c r="B60" s="1">
        <v>2</v>
      </c>
      <c r="C60" s="1">
        <v>140</v>
      </c>
      <c r="D60" s="1">
        <f>$F$54</f>
        <v>0.5</v>
      </c>
      <c r="E60" s="1">
        <f>C60*D60*B60</f>
        <v>140</v>
      </c>
      <c r="F60" s="1"/>
      <c r="G60" s="5">
        <v>2</v>
      </c>
      <c r="H60" s="5">
        <f>F60*G60</f>
        <v>0</v>
      </c>
    </row>
    <row r="61" spans="1:9" ht="15">
      <c r="A61" s="13" t="s">
        <v>62</v>
      </c>
      <c r="B61" s="1">
        <v>0</v>
      </c>
      <c r="C61" s="1"/>
      <c r="D61" s="1">
        <f>$F$54</f>
        <v>0.5</v>
      </c>
      <c r="E61" s="1">
        <f>C61*D61*B61</f>
        <v>0</v>
      </c>
      <c r="F61" s="1">
        <v>0.4</v>
      </c>
      <c r="G61" s="5">
        <v>2</v>
      </c>
      <c r="H61" s="5">
        <f>F61*G61*B61</f>
        <v>0</v>
      </c>
    </row>
    <row r="62" spans="1:9" ht="15">
      <c r="A62" s="13" t="s">
        <v>46</v>
      </c>
      <c r="B62" s="1"/>
      <c r="C62" s="1"/>
      <c r="D62" s="1"/>
      <c r="E62" s="1">
        <f>SUM(E57:E61)</f>
        <v>370</v>
      </c>
      <c r="F62" s="1"/>
      <c r="G62" s="5"/>
      <c r="H62" s="5">
        <f>SUM(H58:H61)</f>
        <v>2</v>
      </c>
    </row>
    <row r="63" spans="1:9">
      <c r="A63" s="31" t="s">
        <v>78</v>
      </c>
      <c r="B63" s="31"/>
      <c r="C63" s="31"/>
      <c r="D63" s="31"/>
      <c r="E63" s="31"/>
      <c r="F63" s="31"/>
      <c r="G63" s="31"/>
      <c r="H63" s="31"/>
    </row>
    <row r="64" spans="1:9" ht="14.25">
      <c r="A64" s="16" t="s">
        <v>63</v>
      </c>
      <c r="B64" s="16" t="s">
        <v>64</v>
      </c>
      <c r="C64" s="16" t="s">
        <v>65</v>
      </c>
      <c r="D64" s="16" t="s">
        <v>66</v>
      </c>
      <c r="E64" s="16" t="s">
        <v>67</v>
      </c>
      <c r="F64" s="16" t="s">
        <v>68</v>
      </c>
      <c r="G64" s="6" t="s">
        <v>65</v>
      </c>
      <c r="H64" s="6" t="s">
        <v>69</v>
      </c>
      <c r="I64" s="6" t="s">
        <v>74</v>
      </c>
    </row>
    <row r="65" spans="1:11" ht="15">
      <c r="A65" s="17">
        <f>H51*2</f>
        <v>1.5844565073967452</v>
      </c>
      <c r="B65" s="18">
        <v>0</v>
      </c>
      <c r="C65" s="18">
        <f>$J$36*((F65/$J$36)+E65-B65+((2*POWER(D65,2)-2*POWER(A65,2)))/(2*9.8)+$G$54)</f>
        <v>93116.256015933206</v>
      </c>
      <c r="D65" s="18">
        <f>H51</f>
        <v>0.79222825369837258</v>
      </c>
      <c r="E65" s="18">
        <v>2</v>
      </c>
      <c r="F65" s="18">
        <v>0</v>
      </c>
      <c r="G65" s="6">
        <f>C65*(14.6951/10331.9272)</f>
        <v>132.43925042171611</v>
      </c>
      <c r="H65" s="6">
        <f>14.6951+G65</f>
        <v>147.13435042171611</v>
      </c>
      <c r="I65" s="6">
        <f>H65*(101325/14.6951)</f>
        <v>1014514.229673863</v>
      </c>
    </row>
    <row r="67" spans="1:11" ht="14.25">
      <c r="A67" s="6" t="s">
        <v>72</v>
      </c>
      <c r="B67" s="6" t="s">
        <v>75</v>
      </c>
      <c r="C67" s="10" t="s">
        <v>73</v>
      </c>
      <c r="D67" s="22" t="s">
        <v>79</v>
      </c>
      <c r="E67" s="23"/>
      <c r="F67" s="23"/>
    </row>
    <row r="68" spans="1:11" ht="15">
      <c r="A68" s="6">
        <f>((F65-C31)/J36)+((2*POWER(D65,2)-2*POWER(A31,2))/(2*9.8))+E65-B31+G22+G54</f>
        <v>98.851717291286533</v>
      </c>
      <c r="B68" s="19">
        <v>317.62814200000003</v>
      </c>
      <c r="C68" s="10">
        <f>((I31-B68)/J36)+((POWER(H19,2)))/(2*9.8)</f>
        <v>7.524410608707087</v>
      </c>
      <c r="D68" s="22">
        <f>(A68*C51*J36)/76.04</f>
        <v>2.1666604701754895</v>
      </c>
      <c r="E68" s="23"/>
      <c r="F68" s="23"/>
    </row>
    <row r="70" spans="1:11">
      <c r="A70" s="24"/>
      <c r="B70" s="24"/>
      <c r="D70" s="39"/>
      <c r="E70" s="39"/>
      <c r="F70" s="39"/>
      <c r="G70" s="39"/>
      <c r="H70" s="39"/>
      <c r="I70" s="39"/>
      <c r="J70" s="23"/>
    </row>
    <row r="71" spans="1:11">
      <c r="A71" s="24"/>
      <c r="B71" s="24"/>
      <c r="D71" s="23"/>
      <c r="E71" s="23"/>
      <c r="F71" s="23"/>
      <c r="G71" s="23"/>
      <c r="H71" s="23"/>
      <c r="I71" s="23"/>
      <c r="J71" s="23"/>
    </row>
    <row r="72" spans="1:11">
      <c r="A72" s="24"/>
      <c r="B72" s="24"/>
      <c r="D72" s="23"/>
      <c r="E72" s="23"/>
      <c r="F72" s="23"/>
      <c r="G72" s="23"/>
      <c r="H72" s="23"/>
      <c r="I72" s="23"/>
      <c r="J72" s="23"/>
      <c r="K72" s="21"/>
    </row>
    <row r="73" spans="1:11">
      <c r="A73" s="24"/>
      <c r="B73" s="24"/>
    </row>
    <row r="74" spans="1:11">
      <c r="A74" s="24"/>
      <c r="B74" s="24"/>
    </row>
    <row r="75" spans="1:11">
      <c r="A75" s="24"/>
      <c r="B75" s="24"/>
    </row>
    <row r="79" spans="1:11">
      <c r="D79" s="23"/>
      <c r="E79" s="23"/>
      <c r="F79" s="23"/>
      <c r="G79" s="23"/>
    </row>
    <row r="80" spans="1:11">
      <c r="D80" s="23"/>
      <c r="E80" s="23"/>
      <c r="F80" s="23"/>
      <c r="G80" s="23"/>
    </row>
  </sheetData>
  <mergeCells count="15">
    <mergeCell ref="D70:I70"/>
    <mergeCell ref="A1:J1"/>
    <mergeCell ref="A2:F2"/>
    <mergeCell ref="G2:J2"/>
    <mergeCell ref="A17:H17"/>
    <mergeCell ref="A20:H20"/>
    <mergeCell ref="A23:H23"/>
    <mergeCell ref="A29:H29"/>
    <mergeCell ref="A33:J33"/>
    <mergeCell ref="A34:F34"/>
    <mergeCell ref="G34:J34"/>
    <mergeCell ref="A63:H63"/>
    <mergeCell ref="A49:H49"/>
    <mergeCell ref="A52:H52"/>
    <mergeCell ref="A55:H55"/>
  </mergeCells>
  <pageMargins left="0.7" right="0.7" top="0.75" bottom="0.75" header="0.3" footer="0.3"/>
  <pageSetup paperSize="9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  <oleObject progId="Equation.3" shapeId="2055" r:id="rId9"/>
    <oleObject progId="Equation.3" shapeId="2056" r:id="rId10"/>
    <oleObject progId="Equation.3" shapeId="2057" r:id="rId11"/>
    <oleObject progId="Equation.3" shapeId="2058" r:id="rId12"/>
    <oleObject progId="Equation.3" shapeId="2059" r:id="rId13"/>
    <oleObject progId="Equation.3" shapeId="2060" r:id="rId1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K80"/>
  <sheetViews>
    <sheetView tabSelected="1" topLeftCell="B40" workbookViewId="0">
      <selection activeCell="D54" sqref="D54"/>
    </sheetView>
  </sheetViews>
  <sheetFormatPr baseColWidth="10" defaultColWidth="11.42578125" defaultRowHeight="12.75"/>
  <cols>
    <col min="1" max="1" width="19.140625" style="2" customWidth="1"/>
    <col min="2" max="2" width="11" style="2" customWidth="1"/>
    <col min="3" max="3" width="15.42578125" style="2" customWidth="1"/>
    <col min="4" max="4" width="22" style="2" customWidth="1"/>
    <col min="5" max="5" width="17.140625" style="2" customWidth="1"/>
    <col min="6" max="6" width="23.140625" style="2" customWidth="1"/>
    <col min="7" max="7" width="25.28515625" style="2" customWidth="1"/>
    <col min="8" max="8" width="18" style="2" customWidth="1"/>
    <col min="9" max="9" width="19.85546875" style="2" customWidth="1"/>
    <col min="10" max="10" width="24.140625" style="2" customWidth="1"/>
    <col min="11" max="16384" width="11.42578125" style="2"/>
  </cols>
  <sheetData>
    <row r="1" spans="1:10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>
      <c r="A2" s="35" t="s">
        <v>0</v>
      </c>
      <c r="B2" s="36"/>
      <c r="C2" s="36"/>
      <c r="D2" s="36"/>
      <c r="E2" s="36"/>
      <c r="F2" s="37"/>
      <c r="G2" s="38" t="s">
        <v>13</v>
      </c>
      <c r="H2" s="38"/>
      <c r="I2" s="38"/>
      <c r="J2" s="38"/>
    </row>
    <row r="3" spans="1:10" ht="14.25">
      <c r="A3" s="3" t="s">
        <v>1</v>
      </c>
      <c r="B3" s="4" t="s">
        <v>2</v>
      </c>
      <c r="C3" s="4"/>
      <c r="D3" s="4"/>
      <c r="E3" s="4" t="s">
        <v>3</v>
      </c>
      <c r="F3" s="4" t="s">
        <v>4</v>
      </c>
      <c r="G3" s="9" t="s">
        <v>14</v>
      </c>
      <c r="H3" s="9" t="s">
        <v>15</v>
      </c>
      <c r="I3" s="9" t="s">
        <v>16</v>
      </c>
      <c r="J3" s="9" t="s">
        <v>17</v>
      </c>
    </row>
    <row r="4" spans="1:10">
      <c r="A4" s="5">
        <v>1</v>
      </c>
      <c r="B4" s="5">
        <v>2.6599999999999999E-2</v>
      </c>
      <c r="C4" s="5">
        <f>(POWER(B4,2)*3.14159/4)</f>
        <v>5.5571585509999995E-4</v>
      </c>
      <c r="D4" s="5">
        <f>3.28083989501*B4</f>
        <v>8.7270341207265997E-2</v>
      </c>
      <c r="E4" s="5">
        <v>1.4999999999999999E-4</v>
      </c>
      <c r="F4" s="5">
        <f>E4/D4</f>
        <v>1.7187969924828393E-3</v>
      </c>
      <c r="G4" s="8">
        <v>1600</v>
      </c>
      <c r="H4" s="8">
        <f>0.001*G4</f>
        <v>1.6</v>
      </c>
      <c r="I4" s="8">
        <f>J4/16.01846</f>
        <v>72.104309652738152</v>
      </c>
      <c r="J4" s="8">
        <v>1155</v>
      </c>
    </row>
    <row r="5" spans="1:10" ht="15" customHeight="1">
      <c r="A5" s="5"/>
      <c r="B5" s="5">
        <v>3.5099999999999999E-2</v>
      </c>
      <c r="C5" s="5">
        <f t="shared" ref="C5:C16" si="0">(POWER(B5,2)*3.14159/4)</f>
        <v>9.6761757397499995E-4</v>
      </c>
      <c r="D5" s="5">
        <f t="shared" ref="D5:D16" si="1">3.28083989501*B5</f>
        <v>0.115157480314851</v>
      </c>
      <c r="E5" s="5">
        <v>1.4999999999999999E-4</v>
      </c>
      <c r="F5" s="5">
        <f t="shared" ref="F5:F13" si="2">E5/D5</f>
        <v>1.3025641025653425E-3</v>
      </c>
      <c r="G5" s="47"/>
      <c r="H5" s="48"/>
      <c r="I5" s="48"/>
      <c r="J5" s="49"/>
    </row>
    <row r="6" spans="1:10">
      <c r="A6" s="5"/>
      <c r="B6" s="5">
        <v>4.0899999999999999E-2</v>
      </c>
      <c r="C6" s="5">
        <f t="shared" si="0"/>
        <v>1.3138207919749997E-3</v>
      </c>
      <c r="D6" s="5">
        <f t="shared" si="1"/>
        <v>0.13418635170590901</v>
      </c>
      <c r="E6" s="5">
        <v>1.4999999999999999E-4</v>
      </c>
      <c r="F6" s="42">
        <f t="shared" si="2"/>
        <v>1.1178484107590102E-3</v>
      </c>
      <c r="G6" s="45"/>
      <c r="H6" s="45"/>
      <c r="I6" s="25"/>
      <c r="J6" s="25"/>
    </row>
    <row r="7" spans="1:10">
      <c r="A7" s="5" t="s">
        <v>5</v>
      </c>
      <c r="B7" s="5">
        <f>5.25/100</f>
        <v>5.2499999999999998E-2</v>
      </c>
      <c r="C7" s="5">
        <f t="shared" si="0"/>
        <v>2.1647518593749995E-3</v>
      </c>
      <c r="D7" s="5">
        <f t="shared" si="1"/>
        <v>0.172244094488025</v>
      </c>
      <c r="E7" s="5">
        <v>1.4999999999999999E-4</v>
      </c>
      <c r="F7" s="42">
        <f t="shared" si="2"/>
        <v>8.7085714285797182E-4</v>
      </c>
      <c r="G7" s="45"/>
      <c r="H7" s="45"/>
      <c r="I7" s="26"/>
      <c r="J7" s="26"/>
    </row>
    <row r="8" spans="1:10">
      <c r="A8" s="5"/>
      <c r="B8" s="5">
        <f>6.271/100</f>
        <v>6.2710000000000002E-2</v>
      </c>
      <c r="C8" s="5">
        <f t="shared" si="0"/>
        <v>3.0886103047797499E-3</v>
      </c>
      <c r="D8" s="5">
        <f t="shared" si="1"/>
        <v>0.2057414698160771</v>
      </c>
      <c r="E8" s="5">
        <v>1.4999999999999999E-4</v>
      </c>
      <c r="F8" s="42">
        <f t="shared" si="2"/>
        <v>7.2907032371302054E-4</v>
      </c>
      <c r="G8" s="45"/>
      <c r="H8" s="26"/>
      <c r="I8" s="26"/>
      <c r="J8" s="26"/>
    </row>
    <row r="9" spans="1:10">
      <c r="A9" s="5" t="s">
        <v>6</v>
      </c>
      <c r="B9" s="5">
        <f>7.793/100</f>
        <v>7.7929999999999999E-2</v>
      </c>
      <c r="C9" s="5">
        <f t="shared" si="0"/>
        <v>4.7697856977477497E-3</v>
      </c>
      <c r="D9" s="5">
        <f t="shared" si="1"/>
        <v>0.25567585301812928</v>
      </c>
      <c r="E9" s="5">
        <v>1.4999999999999999E-4</v>
      </c>
      <c r="F9" s="42">
        <f t="shared" si="2"/>
        <v>5.8668035416455187E-4</v>
      </c>
      <c r="G9" s="45"/>
      <c r="H9" s="26"/>
      <c r="I9" s="44"/>
      <c r="J9" s="26"/>
    </row>
    <row r="10" spans="1:10">
      <c r="A10" s="5"/>
      <c r="B10" s="5">
        <f>9.012/100</f>
        <v>9.0120000000000006E-2</v>
      </c>
      <c r="C10" s="5">
        <f t="shared" si="0"/>
        <v>6.3786956457240005E-3</v>
      </c>
      <c r="D10" s="5">
        <f t="shared" si="1"/>
        <v>0.29566929133830122</v>
      </c>
      <c r="E10" s="5">
        <v>1.4999999999999999E-4</v>
      </c>
      <c r="F10" s="42">
        <f t="shared" si="2"/>
        <v>5.0732356857571587E-4</v>
      </c>
      <c r="G10" s="45"/>
      <c r="H10" s="26"/>
      <c r="I10" s="44"/>
      <c r="J10" s="26"/>
    </row>
    <row r="11" spans="1:10">
      <c r="A11" s="5" t="s">
        <v>7</v>
      </c>
      <c r="B11" s="5">
        <f>10.226/100</f>
        <v>0.10226</v>
      </c>
      <c r="C11" s="5">
        <f t="shared" si="0"/>
        <v>8.2129861662710007E-3</v>
      </c>
      <c r="D11" s="5">
        <f t="shared" si="1"/>
        <v>0.33549868766372265</v>
      </c>
      <c r="E11" s="5">
        <v>1.4999999999999999E-4</v>
      </c>
      <c r="F11" s="42">
        <f t="shared" si="2"/>
        <v>4.470956385687807E-4</v>
      </c>
      <c r="G11" s="45"/>
      <c r="H11" s="26"/>
      <c r="I11" s="26"/>
      <c r="J11" s="26"/>
    </row>
    <row r="12" spans="1:10">
      <c r="A12" s="5" t="s">
        <v>8</v>
      </c>
      <c r="B12" s="5">
        <f>12.819/100</f>
        <v>0.12819</v>
      </c>
      <c r="C12" s="5">
        <f t="shared" si="0"/>
        <v>1.2906182727249749E-2</v>
      </c>
      <c r="D12" s="5">
        <f t="shared" si="1"/>
        <v>0.42057086614133193</v>
      </c>
      <c r="E12" s="5">
        <v>1.4999999999999999E-4</v>
      </c>
      <c r="F12" s="42">
        <f t="shared" si="2"/>
        <v>3.5665808565444668E-4</v>
      </c>
      <c r="G12" s="45"/>
      <c r="H12" s="26"/>
      <c r="I12" s="26"/>
      <c r="J12" s="26"/>
    </row>
    <row r="13" spans="1:10">
      <c r="A13" s="5" t="s">
        <v>9</v>
      </c>
      <c r="B13" s="5">
        <f>15.405/100</f>
        <v>0.15404999999999999</v>
      </c>
      <c r="C13" s="5">
        <f t="shared" si="0"/>
        <v>1.8638584194993747E-2</v>
      </c>
      <c r="D13" s="5">
        <f t="shared" si="1"/>
        <v>0.50541338582629047</v>
      </c>
      <c r="E13" s="5">
        <v>1.4999999999999999E-4</v>
      </c>
      <c r="F13" s="42">
        <f t="shared" si="2"/>
        <v>2.9678675754653375E-4</v>
      </c>
      <c r="G13" s="45"/>
      <c r="H13" s="26"/>
      <c r="I13" s="26"/>
      <c r="J13" s="26"/>
    </row>
    <row r="14" spans="1:10">
      <c r="A14" s="5" t="s">
        <v>10</v>
      </c>
      <c r="B14" s="5">
        <v>0.20272000000000001</v>
      </c>
      <c r="C14" s="5">
        <f t="shared" si="0"/>
        <v>3.2276223164864004E-2</v>
      </c>
      <c r="D14" s="5">
        <f t="shared" si="1"/>
        <v>0.66509186351642724</v>
      </c>
      <c r="E14" s="5">
        <v>1.4999999999999999E-4</v>
      </c>
      <c r="F14" s="42">
        <f>E14/D14</f>
        <v>2.2553275453849407E-4</v>
      </c>
      <c r="G14" s="46"/>
      <c r="H14" s="46"/>
      <c r="I14" s="25"/>
      <c r="J14" s="25"/>
    </row>
    <row r="15" spans="1:10">
      <c r="A15" s="5" t="s">
        <v>11</v>
      </c>
      <c r="B15" s="5">
        <v>0.25451000000000001</v>
      </c>
      <c r="C15" s="5">
        <f t="shared" si="0"/>
        <v>5.0874390176189756E-2</v>
      </c>
      <c r="D15" s="5">
        <f t="shared" si="1"/>
        <v>0.83500656167899523</v>
      </c>
      <c r="E15" s="5">
        <v>1.4999999999999999E-4</v>
      </c>
      <c r="F15" s="5">
        <f>E15/D15</f>
        <v>1.7963930690363252E-4</v>
      </c>
      <c r="G15" s="43" t="s">
        <v>48</v>
      </c>
      <c r="H15" s="43">
        <v>0.5</v>
      </c>
    </row>
    <row r="16" spans="1:10">
      <c r="A16" s="5" t="s">
        <v>12</v>
      </c>
      <c r="B16" s="5">
        <v>0.30323</v>
      </c>
      <c r="C16" s="5">
        <f t="shared" si="0"/>
        <v>7.2216069328577742E-2</v>
      </c>
      <c r="D16" s="5">
        <f t="shared" si="1"/>
        <v>0.99484908136388239</v>
      </c>
      <c r="E16" s="5">
        <v>1.4999999999999999E-4</v>
      </c>
      <c r="F16" s="5">
        <f>E16/D16</f>
        <v>1.5077663819557273E-4</v>
      </c>
    </row>
    <row r="17" spans="1:9">
      <c r="A17" s="28" t="s">
        <v>71</v>
      </c>
      <c r="B17" s="29"/>
      <c r="C17" s="29"/>
      <c r="D17" s="29"/>
      <c r="E17" s="29"/>
      <c r="F17" s="29"/>
      <c r="G17" s="29"/>
      <c r="H17" s="30"/>
    </row>
    <row r="18" spans="1:9" ht="14.25">
      <c r="A18" s="6" t="s">
        <v>18</v>
      </c>
      <c r="B18" s="6" t="s">
        <v>19</v>
      </c>
      <c r="C18" s="6" t="s">
        <v>20</v>
      </c>
      <c r="D18" s="6" t="s">
        <v>21</v>
      </c>
      <c r="E18" s="6" t="s">
        <v>22</v>
      </c>
      <c r="F18" s="6" t="s">
        <v>23</v>
      </c>
      <c r="G18" s="27" t="s">
        <v>80</v>
      </c>
      <c r="H18" s="6" t="s">
        <v>24</v>
      </c>
    </row>
    <row r="19" spans="1:9">
      <c r="A19" s="6">
        <v>100</v>
      </c>
      <c r="B19" s="6">
        <f>A19/60</f>
        <v>1.6666666666666667</v>
      </c>
      <c r="C19" s="6">
        <f>B19/J4</f>
        <v>1.443001443001443E-3</v>
      </c>
      <c r="D19" s="6">
        <f>(A19/J4)*264.20079</f>
        <v>22.874527272727271</v>
      </c>
      <c r="E19" s="6">
        <v>0.12</v>
      </c>
      <c r="F19" s="6">
        <f>SQRT((4*(C19/E19))/PI())</f>
        <v>0.12373649759129748</v>
      </c>
      <c r="G19" s="6">
        <f>B7</f>
        <v>5.2499999999999998E-2</v>
      </c>
      <c r="H19" s="6">
        <f>(C19/C7)</f>
        <v>0.66658976951661419</v>
      </c>
    </row>
    <row r="20" spans="1:9">
      <c r="A20" s="31" t="s">
        <v>25</v>
      </c>
      <c r="B20" s="31"/>
      <c r="C20" s="31"/>
      <c r="D20" s="31"/>
      <c r="E20" s="31"/>
      <c r="F20" s="31"/>
      <c r="G20" s="31"/>
      <c r="H20" s="31"/>
    </row>
    <row r="21" spans="1:9" ht="14.25">
      <c r="A21" s="6" t="s">
        <v>26</v>
      </c>
      <c r="B21" s="6" t="s">
        <v>27</v>
      </c>
      <c r="C21" s="15" t="s">
        <v>41</v>
      </c>
      <c r="D21" s="15" t="s">
        <v>40</v>
      </c>
      <c r="E21" s="15" t="s">
        <v>42</v>
      </c>
      <c r="F21" s="6" t="s">
        <v>44</v>
      </c>
      <c r="G21" s="6" t="s">
        <v>47</v>
      </c>
    </row>
    <row r="22" spans="1:9">
      <c r="A22" s="6">
        <f>(H19*G19*J4)/H4</f>
        <v>25.262710718164804</v>
      </c>
      <c r="B22" s="6">
        <f>64/A22</f>
        <v>2.5333781759999998</v>
      </c>
      <c r="C22" s="6">
        <f>J4*0.001</f>
        <v>1.155</v>
      </c>
      <c r="D22" s="6">
        <f>G4/C22</f>
        <v>1385.2813852813852</v>
      </c>
      <c r="E22" s="6">
        <v>6000</v>
      </c>
      <c r="F22" s="6">
        <v>0.5</v>
      </c>
      <c r="G22" s="6">
        <f>((POWER(H19,2))/(2*9.8))*(B22*((H15/G19)+E28)+H28)</f>
        <v>1.8171553734140808</v>
      </c>
    </row>
    <row r="23" spans="1:9" ht="15">
      <c r="A23" s="32" t="s">
        <v>34</v>
      </c>
      <c r="B23" s="33"/>
      <c r="C23" s="33"/>
      <c r="D23" s="33"/>
      <c r="E23" s="33"/>
      <c r="F23" s="33"/>
      <c r="G23" s="33"/>
      <c r="H23" s="34"/>
    </row>
    <row r="24" spans="1:9" ht="15">
      <c r="A24" s="14" t="s">
        <v>28</v>
      </c>
      <c r="B24" s="14" t="s">
        <v>29</v>
      </c>
      <c r="C24" s="14" t="s">
        <v>30</v>
      </c>
      <c r="D24" s="13" t="s">
        <v>43</v>
      </c>
      <c r="E24" s="14" t="s">
        <v>35</v>
      </c>
      <c r="F24" s="14" t="s">
        <v>36</v>
      </c>
      <c r="G24" s="7" t="s">
        <v>37</v>
      </c>
      <c r="H24" s="7" t="s">
        <v>38</v>
      </c>
    </row>
    <row r="25" spans="1:9" ht="15">
      <c r="A25" s="13" t="s">
        <v>31</v>
      </c>
      <c r="B25" s="1">
        <v>1</v>
      </c>
      <c r="C25" s="1">
        <v>30</v>
      </c>
      <c r="D25" s="1">
        <f>$F$22</f>
        <v>0.5</v>
      </c>
      <c r="E25" s="1">
        <f>C25*D25*B25</f>
        <v>15</v>
      </c>
      <c r="F25" s="1"/>
      <c r="G25" s="5" t="s">
        <v>39</v>
      </c>
      <c r="H25" s="5"/>
    </row>
    <row r="26" spans="1:9" ht="15">
      <c r="A26" s="13" t="s">
        <v>32</v>
      </c>
      <c r="B26" s="1">
        <v>1</v>
      </c>
      <c r="C26" s="1"/>
      <c r="D26" s="1">
        <f>$F$22</f>
        <v>0.5</v>
      </c>
      <c r="E26" s="1"/>
      <c r="F26" s="1">
        <v>0.78</v>
      </c>
      <c r="G26" s="5">
        <v>2</v>
      </c>
      <c r="H26" s="5">
        <f>F26*G26*B26</f>
        <v>1.56</v>
      </c>
    </row>
    <row r="27" spans="1:9" ht="15">
      <c r="A27" s="13" t="s">
        <v>45</v>
      </c>
      <c r="B27" s="1">
        <v>1</v>
      </c>
      <c r="C27" s="1">
        <v>13</v>
      </c>
      <c r="D27" s="1">
        <f>$F$22</f>
        <v>0.5</v>
      </c>
      <c r="E27" s="1">
        <f>C27*D27*B27</f>
        <v>6.5</v>
      </c>
      <c r="F27" s="1"/>
      <c r="G27" s="5"/>
      <c r="H27" s="5"/>
    </row>
    <row r="28" spans="1:9" ht="15">
      <c r="A28" s="13" t="s">
        <v>46</v>
      </c>
      <c r="B28" s="1"/>
      <c r="C28" s="1"/>
      <c r="D28" s="1"/>
      <c r="E28" s="1">
        <f>SUM(E25:E27)</f>
        <v>21.5</v>
      </c>
      <c r="F28" s="1"/>
      <c r="G28" s="5"/>
      <c r="H28" s="5">
        <f>H26</f>
        <v>1.56</v>
      </c>
    </row>
    <row r="29" spans="1:9">
      <c r="A29" s="31" t="s">
        <v>49</v>
      </c>
      <c r="B29" s="31"/>
      <c r="C29" s="31"/>
      <c r="D29" s="31"/>
      <c r="E29" s="31"/>
      <c r="F29" s="31"/>
      <c r="G29" s="31"/>
      <c r="H29" s="31"/>
    </row>
    <row r="30" spans="1:9" ht="14.25">
      <c r="A30" s="16" t="s">
        <v>51</v>
      </c>
      <c r="B30" s="16" t="s">
        <v>53</v>
      </c>
      <c r="C30" s="16" t="s">
        <v>52</v>
      </c>
      <c r="D30" s="16" t="s">
        <v>54</v>
      </c>
      <c r="E30" s="16" t="s">
        <v>55</v>
      </c>
      <c r="F30" s="16" t="s">
        <v>56</v>
      </c>
      <c r="G30" s="6" t="s">
        <v>57</v>
      </c>
      <c r="H30" s="6" t="s">
        <v>58</v>
      </c>
      <c r="I30" s="16" t="s">
        <v>76</v>
      </c>
    </row>
    <row r="31" spans="1:9" ht="15">
      <c r="A31" s="17">
        <v>0</v>
      </c>
      <c r="B31" s="18">
        <v>1</v>
      </c>
      <c r="C31" s="18">
        <v>0</v>
      </c>
      <c r="D31" s="18">
        <f>H19</f>
        <v>0.66658976951661419</v>
      </c>
      <c r="E31" s="18">
        <v>0</v>
      </c>
      <c r="F31" s="18">
        <f>$J$4*(B31-(POWER(D31,2)/(2*9.8))-$G$22)</f>
        <v>-969.99889091326156</v>
      </c>
      <c r="G31" s="6">
        <f>F31*(14.6951/10331.9272)</f>
        <v>-1.3796294172358734</v>
      </c>
      <c r="H31" s="6">
        <f>14.6951+G31</f>
        <v>13.315470582764126</v>
      </c>
      <c r="I31" s="6">
        <f>H31*(10331.9272/14.6951)</f>
        <v>9361.9283090867375</v>
      </c>
    </row>
    <row r="32" spans="1:9" ht="15">
      <c r="A32" s="11"/>
      <c r="B32" s="12"/>
      <c r="C32" s="12"/>
      <c r="D32" s="12"/>
      <c r="E32" s="12"/>
      <c r="F32" s="12"/>
    </row>
    <row r="33" spans="1:10">
      <c r="A33" s="50" t="s">
        <v>59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>
      <c r="A34" s="35" t="s">
        <v>0</v>
      </c>
      <c r="B34" s="36"/>
      <c r="C34" s="36"/>
      <c r="D34" s="36"/>
      <c r="E34" s="36"/>
      <c r="F34" s="37"/>
      <c r="G34" s="38" t="s">
        <v>13</v>
      </c>
      <c r="H34" s="38"/>
      <c r="I34" s="38"/>
      <c r="J34" s="38"/>
    </row>
    <row r="35" spans="1:10" ht="14.25">
      <c r="A35" s="3" t="s">
        <v>1</v>
      </c>
      <c r="B35" s="4" t="s">
        <v>2</v>
      </c>
      <c r="C35" s="4"/>
      <c r="D35" s="4"/>
      <c r="E35" s="4" t="s">
        <v>3</v>
      </c>
      <c r="F35" s="4" t="s">
        <v>4</v>
      </c>
      <c r="G35" s="9" t="s">
        <v>14</v>
      </c>
      <c r="H35" s="9" t="s">
        <v>15</v>
      </c>
      <c r="I35" s="9" t="s">
        <v>16</v>
      </c>
      <c r="J35" s="9" t="s">
        <v>17</v>
      </c>
    </row>
    <row r="36" spans="1:10">
      <c r="A36" s="5">
        <v>1</v>
      </c>
      <c r="B36" s="5">
        <v>2.6599999999999999E-2</v>
      </c>
      <c r="C36" s="5">
        <f>(POWER(B36,2)*3.14159/4)</f>
        <v>5.5571585509999995E-4</v>
      </c>
      <c r="D36" s="5">
        <f>3.28083989501*B36</f>
        <v>8.7270341207265997E-2</v>
      </c>
      <c r="E36" s="5">
        <v>1.4999999999999999E-4</v>
      </c>
      <c r="F36" s="5">
        <f>E36/D36</f>
        <v>1.7187969924828393E-3</v>
      </c>
      <c r="G36" s="51">
        <v>1600</v>
      </c>
      <c r="H36" s="51">
        <f>0.001*G36</f>
        <v>1.6</v>
      </c>
      <c r="I36" s="51">
        <f>J36/16.01846</f>
        <v>72.104309652738152</v>
      </c>
      <c r="J36" s="51">
        <v>1155</v>
      </c>
    </row>
    <row r="37" spans="1:10">
      <c r="A37" s="5"/>
      <c r="B37" s="5">
        <v>3.5099999999999999E-2</v>
      </c>
      <c r="C37" s="5">
        <f t="shared" ref="C37:C48" si="3">(POWER(B37,2)*3.14159/4)</f>
        <v>9.6761757397499995E-4</v>
      </c>
      <c r="D37" s="5">
        <f t="shared" ref="D37:D48" si="4">3.28083989501*B37</f>
        <v>0.115157480314851</v>
      </c>
      <c r="E37" s="5">
        <v>1.4999999999999999E-4</v>
      </c>
      <c r="F37" s="42">
        <f t="shared" ref="F37:F45" si="5">E37/D37</f>
        <v>1.3025641025653425E-3</v>
      </c>
      <c r="G37" s="25"/>
      <c r="H37" s="25"/>
      <c r="I37" s="25"/>
      <c r="J37" s="25"/>
    </row>
    <row r="38" spans="1:10">
      <c r="A38" s="5"/>
      <c r="B38" s="5">
        <v>4.0899999999999999E-2</v>
      </c>
      <c r="C38" s="5">
        <f t="shared" si="3"/>
        <v>1.3138207919749997E-3</v>
      </c>
      <c r="D38" s="5">
        <f t="shared" si="4"/>
        <v>0.13418635170590901</v>
      </c>
      <c r="E38" s="5">
        <v>1.4999999999999999E-4</v>
      </c>
      <c r="F38" s="42">
        <f t="shared" si="5"/>
        <v>1.1178484107590102E-3</v>
      </c>
      <c r="G38" s="45"/>
      <c r="H38" s="45"/>
      <c r="I38" s="25"/>
      <c r="J38" s="25"/>
    </row>
    <row r="39" spans="1:10">
      <c r="A39" s="5" t="s">
        <v>5</v>
      </c>
      <c r="B39" s="5">
        <f>5.25/100</f>
        <v>5.2499999999999998E-2</v>
      </c>
      <c r="C39" s="5">
        <f t="shared" si="3"/>
        <v>2.1647518593749995E-3</v>
      </c>
      <c r="D39" s="5">
        <f t="shared" si="4"/>
        <v>0.172244094488025</v>
      </c>
      <c r="E39" s="5">
        <v>1.4999999999999999E-4</v>
      </c>
      <c r="F39" s="42">
        <f t="shared" si="5"/>
        <v>8.7085714285797182E-4</v>
      </c>
      <c r="G39" s="45"/>
      <c r="H39" s="45"/>
      <c r="I39" s="26"/>
      <c r="J39" s="26"/>
    </row>
    <row r="40" spans="1:10">
      <c r="A40" s="5"/>
      <c r="B40" s="5">
        <f>6.271/100</f>
        <v>6.2710000000000002E-2</v>
      </c>
      <c r="C40" s="5">
        <f t="shared" si="3"/>
        <v>3.0886103047797499E-3</v>
      </c>
      <c r="D40" s="5">
        <f t="shared" si="4"/>
        <v>0.2057414698160771</v>
      </c>
      <c r="E40" s="5">
        <v>1.4999999999999999E-4</v>
      </c>
      <c r="F40" s="42">
        <f t="shared" si="5"/>
        <v>7.2907032371302054E-4</v>
      </c>
      <c r="G40" s="45"/>
      <c r="H40" s="26"/>
      <c r="I40" s="26"/>
      <c r="J40" s="26"/>
    </row>
    <row r="41" spans="1:10">
      <c r="A41" s="5" t="s">
        <v>6</v>
      </c>
      <c r="B41" s="5">
        <f>7.793/100</f>
        <v>7.7929999999999999E-2</v>
      </c>
      <c r="C41" s="5">
        <f t="shared" si="3"/>
        <v>4.7697856977477497E-3</v>
      </c>
      <c r="D41" s="5">
        <f t="shared" si="4"/>
        <v>0.25567585301812928</v>
      </c>
      <c r="E41" s="5">
        <v>1.4999999999999999E-4</v>
      </c>
      <c r="F41" s="42">
        <f t="shared" si="5"/>
        <v>5.8668035416455187E-4</v>
      </c>
      <c r="G41" s="45"/>
      <c r="H41" s="26"/>
      <c r="I41" s="44"/>
      <c r="J41" s="26"/>
    </row>
    <row r="42" spans="1:10">
      <c r="A42" s="5"/>
      <c r="B42" s="5">
        <f>9.012/100</f>
        <v>9.0120000000000006E-2</v>
      </c>
      <c r="C42" s="5">
        <f t="shared" si="3"/>
        <v>6.3786956457240005E-3</v>
      </c>
      <c r="D42" s="5">
        <f t="shared" si="4"/>
        <v>0.29566929133830122</v>
      </c>
      <c r="E42" s="5">
        <v>1.4999999999999999E-4</v>
      </c>
      <c r="F42" s="42">
        <f t="shared" si="5"/>
        <v>5.0732356857571587E-4</v>
      </c>
      <c r="G42" s="45"/>
      <c r="H42" s="26"/>
      <c r="I42" s="44"/>
      <c r="J42" s="26"/>
    </row>
    <row r="43" spans="1:10">
      <c r="A43" s="5" t="s">
        <v>7</v>
      </c>
      <c r="B43" s="5">
        <f>10.226/100</f>
        <v>0.10226</v>
      </c>
      <c r="C43" s="5">
        <f t="shared" si="3"/>
        <v>8.2129861662710007E-3</v>
      </c>
      <c r="D43" s="5">
        <f t="shared" si="4"/>
        <v>0.33549868766372265</v>
      </c>
      <c r="E43" s="5">
        <v>1.4999999999999999E-4</v>
      </c>
      <c r="F43" s="42">
        <f t="shared" si="5"/>
        <v>4.470956385687807E-4</v>
      </c>
      <c r="G43" s="45"/>
      <c r="H43" s="26"/>
      <c r="I43" s="26"/>
      <c r="J43" s="26"/>
    </row>
    <row r="44" spans="1:10">
      <c r="A44" s="5" t="s">
        <v>8</v>
      </c>
      <c r="B44" s="5">
        <f>12.819/100</f>
        <v>0.12819</v>
      </c>
      <c r="C44" s="5">
        <f t="shared" si="3"/>
        <v>1.2906182727249749E-2</v>
      </c>
      <c r="D44" s="5">
        <f t="shared" si="4"/>
        <v>0.42057086614133193</v>
      </c>
      <c r="E44" s="5">
        <v>1.4999999999999999E-4</v>
      </c>
      <c r="F44" s="42">
        <f t="shared" si="5"/>
        <v>3.5665808565444668E-4</v>
      </c>
      <c r="G44" s="45"/>
      <c r="H44" s="26"/>
      <c r="I44" s="26"/>
      <c r="J44" s="26"/>
    </row>
    <row r="45" spans="1:10">
      <c r="A45" s="5" t="s">
        <v>9</v>
      </c>
      <c r="B45" s="5">
        <f>15.405/100</f>
        <v>0.15404999999999999</v>
      </c>
      <c r="C45" s="5">
        <f t="shared" si="3"/>
        <v>1.8638584194993747E-2</v>
      </c>
      <c r="D45" s="5">
        <f t="shared" si="4"/>
        <v>0.50541338582629047</v>
      </c>
      <c r="E45" s="5">
        <v>1.4999999999999999E-4</v>
      </c>
      <c r="F45" s="42">
        <f t="shared" si="5"/>
        <v>2.9678675754653375E-4</v>
      </c>
      <c r="G45" s="45"/>
      <c r="H45" s="26"/>
      <c r="I45" s="26"/>
      <c r="J45" s="26"/>
    </row>
    <row r="46" spans="1:10">
      <c r="A46" s="5" t="s">
        <v>10</v>
      </c>
      <c r="B46" s="5">
        <v>0.20272000000000001</v>
      </c>
      <c r="C46" s="5">
        <f t="shared" si="3"/>
        <v>3.2276223164864004E-2</v>
      </c>
      <c r="D46" s="5">
        <f t="shared" si="4"/>
        <v>0.66509186351642724</v>
      </c>
      <c r="E46" s="5">
        <v>1.4999999999999999E-4</v>
      </c>
      <c r="F46" s="42">
        <f>E46/D46</f>
        <v>2.2553275453849407E-4</v>
      </c>
      <c r="G46" s="25"/>
      <c r="H46" s="25"/>
      <c r="I46" s="25"/>
      <c r="J46" s="25"/>
    </row>
    <row r="47" spans="1:10">
      <c r="A47" s="5" t="s">
        <v>11</v>
      </c>
      <c r="B47" s="5">
        <v>0.25451000000000001</v>
      </c>
      <c r="C47" s="5">
        <f t="shared" si="3"/>
        <v>5.0874390176189756E-2</v>
      </c>
      <c r="D47" s="5">
        <f t="shared" si="4"/>
        <v>0.83500656167899523</v>
      </c>
      <c r="E47" s="5">
        <v>1.4999999999999999E-4</v>
      </c>
      <c r="F47" s="5">
        <f>E47/D47</f>
        <v>1.7963930690363252E-4</v>
      </c>
      <c r="G47" s="27" t="s">
        <v>48</v>
      </c>
      <c r="H47" s="27">
        <v>28.1</v>
      </c>
    </row>
    <row r="48" spans="1:10">
      <c r="A48" s="5" t="s">
        <v>12</v>
      </c>
      <c r="B48" s="5">
        <v>0.30323</v>
      </c>
      <c r="C48" s="5">
        <f t="shared" si="3"/>
        <v>7.2216069328577742E-2</v>
      </c>
      <c r="D48" s="5">
        <f t="shared" si="4"/>
        <v>0.99484908136388239</v>
      </c>
      <c r="E48" s="5">
        <v>1.4999999999999999E-4</v>
      </c>
      <c r="F48" s="5">
        <f>E48/D48</f>
        <v>1.5077663819557273E-4</v>
      </c>
    </row>
    <row r="49" spans="1:8">
      <c r="A49" s="28" t="s">
        <v>70</v>
      </c>
      <c r="B49" s="29"/>
      <c r="C49" s="29"/>
      <c r="D49" s="29"/>
      <c r="E49" s="29"/>
      <c r="F49" s="29"/>
      <c r="G49" s="29"/>
      <c r="H49" s="30"/>
    </row>
    <row r="50" spans="1:8" ht="14.25">
      <c r="A50" s="6" t="s">
        <v>18</v>
      </c>
      <c r="B50" s="6" t="s">
        <v>19</v>
      </c>
      <c r="C50" s="6" t="s">
        <v>20</v>
      </c>
      <c r="D50" s="6" t="s">
        <v>21</v>
      </c>
      <c r="E50" s="6" t="s">
        <v>22</v>
      </c>
      <c r="F50" s="6" t="s">
        <v>23</v>
      </c>
      <c r="G50" s="27" t="s">
        <v>80</v>
      </c>
      <c r="H50" s="6" t="s">
        <v>24</v>
      </c>
    </row>
    <row r="51" spans="1:8">
      <c r="A51" s="6">
        <v>100</v>
      </c>
      <c r="B51" s="6">
        <f>A51/60</f>
        <v>1.6666666666666667</v>
      </c>
      <c r="C51" s="6">
        <f>B51/J36</f>
        <v>1.443001443001443E-3</v>
      </c>
      <c r="D51" s="6">
        <f>(A51/J36)*264.20079</f>
        <v>22.874527272727271</v>
      </c>
      <c r="E51" s="6">
        <v>0.20499999999999999</v>
      </c>
      <c r="F51" s="6">
        <f>SQRT((4*(C51/E51))/PI())</f>
        <v>9.4669811304274959E-2</v>
      </c>
      <c r="G51" s="6">
        <f>B39</f>
        <v>5.2499999999999998E-2</v>
      </c>
      <c r="H51" s="6">
        <f>(C51/C39)</f>
        <v>0.66658976951661419</v>
      </c>
    </row>
    <row r="52" spans="1:8">
      <c r="A52" s="31" t="s">
        <v>25</v>
      </c>
      <c r="B52" s="31"/>
      <c r="C52" s="31"/>
      <c r="D52" s="31"/>
      <c r="E52" s="31"/>
      <c r="F52" s="31"/>
      <c r="G52" s="31"/>
      <c r="H52" s="31"/>
    </row>
    <row r="53" spans="1:8" ht="14.25">
      <c r="A53" s="6" t="s">
        <v>26</v>
      </c>
      <c r="B53" s="6" t="s">
        <v>27</v>
      </c>
      <c r="C53" s="15" t="s">
        <v>41</v>
      </c>
      <c r="D53" s="15" t="s">
        <v>40</v>
      </c>
      <c r="E53" s="15" t="s">
        <v>42</v>
      </c>
      <c r="F53" s="6" t="s">
        <v>44</v>
      </c>
      <c r="G53" s="6" t="s">
        <v>47</v>
      </c>
    </row>
    <row r="54" spans="1:8">
      <c r="A54" s="6">
        <f>(H51*G51*J36)/H36</f>
        <v>25.262710718164804</v>
      </c>
      <c r="B54" s="6">
        <f>64/A54</f>
        <v>2.5333781759999998</v>
      </c>
      <c r="C54" s="6">
        <f>J36*0.001</f>
        <v>1.155</v>
      </c>
      <c r="D54" s="6">
        <f>G36/C54</f>
        <v>1385.2813852813852</v>
      </c>
      <c r="E54" s="6">
        <v>6000</v>
      </c>
      <c r="F54" s="6">
        <v>0.5</v>
      </c>
      <c r="G54" s="6">
        <f>((POWER(H51,2))/(2*9.8))*(B54*((H47/G51)+E63)+H63)</f>
        <v>61.512288672878356</v>
      </c>
    </row>
    <row r="55" spans="1:8" ht="15">
      <c r="A55" s="32" t="s">
        <v>34</v>
      </c>
      <c r="B55" s="33"/>
      <c r="C55" s="33"/>
      <c r="D55" s="33"/>
      <c r="E55" s="33"/>
      <c r="F55" s="33"/>
      <c r="G55" s="33"/>
      <c r="H55" s="34"/>
    </row>
    <row r="56" spans="1:8" ht="15">
      <c r="A56" s="14" t="s">
        <v>28</v>
      </c>
      <c r="B56" s="14" t="s">
        <v>29</v>
      </c>
      <c r="C56" s="14" t="s">
        <v>30</v>
      </c>
      <c r="D56" s="13" t="s">
        <v>43</v>
      </c>
      <c r="E56" s="14" t="s">
        <v>35</v>
      </c>
      <c r="F56" s="14" t="s">
        <v>36</v>
      </c>
      <c r="G56" s="7" t="s">
        <v>37</v>
      </c>
      <c r="H56" s="7" t="s">
        <v>38</v>
      </c>
    </row>
    <row r="57" spans="1:8" ht="15">
      <c r="A57" s="13" t="s">
        <v>31</v>
      </c>
      <c r="B57" s="1">
        <v>6</v>
      </c>
      <c r="C57" s="1">
        <v>30</v>
      </c>
      <c r="D57" s="1">
        <f t="shared" ref="D57:D62" si="6">$F$54</f>
        <v>0.5</v>
      </c>
      <c r="E57" s="1">
        <f t="shared" ref="E57:E62" si="7">C57*D57*B57</f>
        <v>90</v>
      </c>
      <c r="F57" s="1"/>
      <c r="G57" s="5" t="s">
        <v>39</v>
      </c>
      <c r="H57" s="5"/>
    </row>
    <row r="58" spans="1:8" ht="15">
      <c r="A58" s="13" t="s">
        <v>60</v>
      </c>
      <c r="B58" s="1">
        <v>1</v>
      </c>
      <c r="C58" s="1"/>
      <c r="D58" s="1">
        <f t="shared" si="6"/>
        <v>0.5</v>
      </c>
      <c r="E58" s="1">
        <f t="shared" si="7"/>
        <v>0</v>
      </c>
      <c r="F58" s="1">
        <v>1</v>
      </c>
      <c r="G58" s="5">
        <v>2</v>
      </c>
      <c r="H58" s="5">
        <f>F58*G58</f>
        <v>2</v>
      </c>
    </row>
    <row r="59" spans="1:8" ht="15">
      <c r="A59" s="13" t="s">
        <v>33</v>
      </c>
      <c r="B59" s="1">
        <v>1</v>
      </c>
      <c r="C59" s="1">
        <v>340</v>
      </c>
      <c r="D59" s="1">
        <f t="shared" si="6"/>
        <v>0.5</v>
      </c>
      <c r="E59" s="1">
        <f t="shared" si="7"/>
        <v>170</v>
      </c>
      <c r="F59" s="1"/>
      <c r="G59" s="5">
        <v>2</v>
      </c>
      <c r="H59" s="5">
        <f>F59*G59</f>
        <v>0</v>
      </c>
    </row>
    <row r="60" spans="1:8" ht="15">
      <c r="A60" s="13" t="s">
        <v>61</v>
      </c>
      <c r="B60" s="1">
        <v>2</v>
      </c>
      <c r="C60" s="1">
        <v>140</v>
      </c>
      <c r="D60" s="1">
        <f t="shared" si="6"/>
        <v>0.5</v>
      </c>
      <c r="E60" s="1">
        <f t="shared" si="7"/>
        <v>140</v>
      </c>
      <c r="F60" s="1"/>
      <c r="G60" s="5">
        <v>2</v>
      </c>
      <c r="H60" s="5">
        <f>F60*G60</f>
        <v>0</v>
      </c>
    </row>
    <row r="61" spans="1:8" ht="15">
      <c r="A61" s="13" t="s">
        <v>62</v>
      </c>
      <c r="B61" s="1">
        <v>0</v>
      </c>
      <c r="C61" s="1"/>
      <c r="D61" s="1">
        <f t="shared" si="6"/>
        <v>0.5</v>
      </c>
      <c r="E61" s="1">
        <f t="shared" si="7"/>
        <v>0</v>
      </c>
      <c r="F61" s="1">
        <v>0.4</v>
      </c>
      <c r="G61" s="5">
        <v>2</v>
      </c>
      <c r="H61" s="5">
        <f>F61*G61*B61</f>
        <v>0</v>
      </c>
    </row>
    <row r="62" spans="1:8" ht="15">
      <c r="A62" s="13" t="s">
        <v>77</v>
      </c>
      <c r="B62" s="1">
        <v>2</v>
      </c>
      <c r="C62" s="1">
        <v>135</v>
      </c>
      <c r="D62" s="1">
        <f t="shared" si="6"/>
        <v>0.5</v>
      </c>
      <c r="E62" s="1">
        <f t="shared" si="7"/>
        <v>135</v>
      </c>
      <c r="F62" s="1"/>
      <c r="G62" s="5"/>
      <c r="H62" s="5"/>
    </row>
    <row r="63" spans="1:8" ht="15">
      <c r="A63" s="13" t="s">
        <v>46</v>
      </c>
      <c r="B63" s="1"/>
      <c r="C63" s="1"/>
      <c r="D63" s="1"/>
      <c r="E63" s="1">
        <f>SUM(E57:E62)</f>
        <v>535</v>
      </c>
      <c r="F63" s="1"/>
      <c r="G63" s="5"/>
      <c r="H63" s="5">
        <f>SUM(H58:H61)</f>
        <v>2</v>
      </c>
    </row>
    <row r="64" spans="1:8">
      <c r="A64" s="31" t="s">
        <v>78</v>
      </c>
      <c r="B64" s="31"/>
      <c r="C64" s="31"/>
      <c r="D64" s="31"/>
      <c r="E64" s="31"/>
      <c r="F64" s="31"/>
      <c r="G64" s="31"/>
      <c r="H64" s="31"/>
    </row>
    <row r="65" spans="1:11" ht="14.25">
      <c r="A65" s="16" t="s">
        <v>63</v>
      </c>
      <c r="B65" s="16" t="s">
        <v>64</v>
      </c>
      <c r="C65" s="16" t="s">
        <v>65</v>
      </c>
      <c r="D65" s="16" t="s">
        <v>66</v>
      </c>
      <c r="E65" s="16" t="s">
        <v>67</v>
      </c>
      <c r="F65" s="16" t="s">
        <v>68</v>
      </c>
      <c r="G65" s="6" t="s">
        <v>65</v>
      </c>
      <c r="H65" s="6" t="s">
        <v>69</v>
      </c>
      <c r="I65" s="6" t="s">
        <v>74</v>
      </c>
    </row>
    <row r="66" spans="1:11" ht="15">
      <c r="A66" s="17">
        <f>H51</f>
        <v>0.66658976951661419</v>
      </c>
      <c r="B66" s="18">
        <v>0</v>
      </c>
      <c r="C66" s="18">
        <f>$J$36*((F66/$J$36)+E66-B66+((2*POWER(D66,2)-2*POWER(A66,2)))/(2*9.8)+$G$54)</f>
        <v>73356.693417174494</v>
      </c>
      <c r="D66" s="18">
        <f>H51</f>
        <v>0.66658976951661419</v>
      </c>
      <c r="E66" s="18">
        <v>2</v>
      </c>
      <c r="F66" s="18">
        <v>0</v>
      </c>
      <c r="G66" s="6">
        <f>C66*(14.6951/10331.9272)</f>
        <v>104.33522464567123</v>
      </c>
      <c r="H66" s="6">
        <f>14.6951+G66</f>
        <v>119.03032464567123</v>
      </c>
      <c r="I66" s="6">
        <f>H66*(101325/14.6951)</f>
        <v>820732.60098418093</v>
      </c>
    </row>
    <row r="68" spans="1:11" ht="14.25">
      <c r="A68" s="6" t="s">
        <v>72</v>
      </c>
      <c r="B68" s="6" t="s">
        <v>75</v>
      </c>
      <c r="C68" s="22" t="s">
        <v>73</v>
      </c>
      <c r="D68" s="22" t="s">
        <v>79</v>
      </c>
      <c r="E68" s="23"/>
      <c r="F68" s="23"/>
      <c r="G68" s="23"/>
      <c r="H68" s="23"/>
      <c r="I68" s="23"/>
      <c r="J68" s="23"/>
      <c r="K68" s="23"/>
    </row>
    <row r="69" spans="1:11" ht="15">
      <c r="A69" s="6">
        <f>((F66-C31)/J36)+((2*POWER(D66,2)-2*POWER(A31,2))/(2*9.8))+E66-B31+G22+G54</f>
        <v>64.374785058621441</v>
      </c>
      <c r="B69" s="20">
        <v>4827.45</v>
      </c>
      <c r="C69" s="22">
        <f>((I31-B69)/J36)+((POWER(H19,2)))/(2*9.8)</f>
        <v>3.948625752127044</v>
      </c>
      <c r="D69" s="22">
        <f>(A69*C51*J36)/76.04</f>
        <v>1.4109851187669087</v>
      </c>
      <c r="E69" s="23"/>
      <c r="F69" s="23"/>
      <c r="G69" s="23"/>
      <c r="H69" s="23"/>
      <c r="I69" s="23"/>
      <c r="J69" s="23"/>
      <c r="K69" s="23"/>
    </row>
    <row r="70" spans="1:11">
      <c r="D70" s="23"/>
      <c r="E70" s="23"/>
      <c r="F70" s="23"/>
      <c r="G70" s="23"/>
      <c r="H70" s="23"/>
      <c r="I70" s="23"/>
      <c r="J70" s="23"/>
      <c r="K70" s="23"/>
    </row>
    <row r="71" spans="1:11">
      <c r="A71" s="24"/>
      <c r="B71" s="24"/>
      <c r="D71" s="25"/>
      <c r="E71" s="25"/>
      <c r="F71" s="25"/>
      <c r="G71" s="25"/>
      <c r="H71" s="25"/>
      <c r="I71" s="25"/>
      <c r="J71" s="23"/>
      <c r="K71" s="23"/>
    </row>
    <row r="72" spans="1:11">
      <c r="A72" s="24"/>
      <c r="B72" s="24"/>
      <c r="D72" s="23"/>
      <c r="E72" s="23"/>
      <c r="F72" s="23"/>
      <c r="G72" s="23"/>
      <c r="H72" s="23"/>
      <c r="I72" s="23"/>
      <c r="J72" s="23"/>
      <c r="K72" s="23"/>
    </row>
    <row r="73" spans="1:11">
      <c r="A73" s="24"/>
      <c r="B73" s="24"/>
      <c r="D73" s="23"/>
      <c r="E73" s="23"/>
      <c r="F73" s="23"/>
      <c r="G73" s="23"/>
      <c r="H73" s="23"/>
      <c r="I73" s="23"/>
      <c r="J73" s="23"/>
      <c r="K73" s="23"/>
    </row>
    <row r="74" spans="1:11">
      <c r="A74" s="24"/>
      <c r="B74" s="24"/>
      <c r="D74" s="23"/>
      <c r="E74" s="23"/>
      <c r="F74" s="23"/>
      <c r="G74" s="23"/>
      <c r="H74" s="23"/>
      <c r="I74" s="23"/>
      <c r="J74" s="23"/>
      <c r="K74" s="23"/>
    </row>
    <row r="75" spans="1:11">
      <c r="A75" s="24"/>
      <c r="B75" s="24"/>
    </row>
    <row r="76" spans="1:11">
      <c r="A76" s="24"/>
      <c r="B76" s="24"/>
    </row>
    <row r="79" spans="1:11">
      <c r="D79" s="23"/>
      <c r="E79" s="23"/>
      <c r="F79" s="23"/>
      <c r="G79" s="23"/>
    </row>
    <row r="80" spans="1:11">
      <c r="D80" s="23"/>
      <c r="E80" s="23"/>
      <c r="F80" s="23"/>
      <c r="G80" s="23"/>
    </row>
  </sheetData>
  <mergeCells count="14">
    <mergeCell ref="A1:J1"/>
    <mergeCell ref="A2:F2"/>
    <mergeCell ref="G2:J2"/>
    <mergeCell ref="A17:H17"/>
    <mergeCell ref="A20:H20"/>
    <mergeCell ref="A23:H23"/>
    <mergeCell ref="A29:H29"/>
    <mergeCell ref="A33:J33"/>
    <mergeCell ref="A34:F34"/>
    <mergeCell ref="G34:J34"/>
    <mergeCell ref="A64:H64"/>
    <mergeCell ref="A49:H49"/>
    <mergeCell ref="A52:H52"/>
    <mergeCell ref="A55:H55"/>
  </mergeCells>
  <pageMargins left="0.7" right="0.7" top="0.75" bottom="0.75" header="0.3" footer="0.3"/>
  <pageSetup orientation="portrait" r:id="rId1"/>
  <legacyDrawing r:id="rId2"/>
  <oleObjects>
    <oleObject progId="Equation.3" shapeId="3073" r:id="rId3"/>
    <oleObject progId="Equation.3" shapeId="3074" r:id="rId4"/>
    <oleObject progId="Equation.3" shapeId="3075" r:id="rId5"/>
    <oleObject progId="Equation.3" shapeId="3076" r:id="rId6"/>
    <oleObject progId="Equation.3" shapeId="3077" r:id="rId7"/>
    <oleObject progId="Equation.3" shapeId="3078" r:id="rId8"/>
    <oleObject progId="Equation.3" shapeId="3079" r:id="rId9"/>
    <oleObject progId="Equation.3" shapeId="3080" r:id="rId10"/>
    <oleObject progId="Equation.3" shapeId="3081" r:id="rId11"/>
    <oleObject progId="Equation.3" shapeId="3082" r:id="rId12"/>
    <oleObject progId="Equation.3" shapeId="3083" r:id="rId13"/>
    <oleObject progId="Equation.3" shapeId="3084" r:id="rId1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Estabilizante</vt:lpstr>
      <vt:lpstr>Concentrado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Jose</cp:lastModifiedBy>
  <dcterms:created xsi:type="dcterms:W3CDTF">2008-10-04T20:33:50Z</dcterms:created>
  <dcterms:modified xsi:type="dcterms:W3CDTF">2008-10-29T02:13:40Z</dcterms:modified>
</cp:coreProperties>
</file>